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보상\9.위임국도 13호선 임실 삼계후천 병목지점 개선사업\공고\"/>
    </mc:Choice>
  </mc:AlternateContent>
  <bookViews>
    <workbookView xWindow="3120" yWindow="600" windowWidth="14400" windowHeight="15600" firstSheet="1" activeTab="1"/>
  </bookViews>
  <sheets>
    <sheet name="용지조서집계" sheetId="1" r:id="rId1"/>
    <sheet name="용지조서" sheetId="2" r:id="rId2"/>
  </sheets>
  <definedNames>
    <definedName name="_xlnm._FilterDatabase" localSheetId="1" hidden="1">용지조서!$A$3:$IU$51</definedName>
    <definedName name="_xlnm.Print_Area" localSheetId="1">용지조서!$A$1:$N$50</definedName>
    <definedName name="_xlnm.Print_Area" localSheetId="0">용지조서집계!$A$1:$Q$15</definedName>
    <definedName name="_xlnm.Print_Titles" localSheetId="1">용지조서!$1:$3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" i="2" l="1"/>
  <c r="P6" i="2"/>
  <c r="P8" i="2"/>
  <c r="P9" i="2"/>
  <c r="P10" i="2"/>
  <c r="P11" i="2"/>
  <c r="P12" i="2"/>
  <c r="P13" i="2"/>
  <c r="Q13" i="2" s="1"/>
  <c r="P14" i="2"/>
  <c r="P15" i="2"/>
  <c r="P16" i="2"/>
  <c r="R16" i="2" s="1"/>
  <c r="P17" i="2"/>
  <c r="Q17" i="2" s="1"/>
  <c r="P18" i="2"/>
  <c r="Q18" i="2" s="1"/>
  <c r="P19" i="2"/>
  <c r="Q19" i="2" s="1"/>
  <c r="P20" i="2"/>
  <c r="Q20" i="2" s="1"/>
  <c r="P21" i="2"/>
  <c r="R21" i="2" s="1"/>
  <c r="P22" i="2"/>
  <c r="Q22" i="2" s="1"/>
  <c r="P23" i="2"/>
  <c r="Q23" i="2" s="1"/>
  <c r="P24" i="2"/>
  <c r="Q24" i="2" s="1"/>
  <c r="P25" i="2"/>
  <c r="P26" i="2"/>
  <c r="Q26" i="2" s="1"/>
  <c r="P27" i="2"/>
  <c r="Q27" i="2" s="1"/>
  <c r="P28" i="2"/>
  <c r="Q28" i="2" s="1"/>
  <c r="P29" i="2"/>
  <c r="P30" i="2"/>
  <c r="Q30" i="2" s="1"/>
  <c r="P31" i="2"/>
  <c r="Q31" i="2" s="1"/>
  <c r="P32" i="2"/>
  <c r="P33" i="2"/>
  <c r="Q33" i="2" s="1"/>
  <c r="P34" i="2"/>
  <c r="R34" i="2" s="1"/>
  <c r="P35" i="2"/>
  <c r="Q35" i="2" s="1"/>
  <c r="P36" i="2"/>
  <c r="Q36" i="2" s="1"/>
  <c r="P37" i="2"/>
  <c r="Q37" i="2" s="1"/>
  <c r="P38" i="2"/>
  <c r="Q38" i="2" s="1"/>
  <c r="P39" i="2"/>
  <c r="Q39" i="2" s="1"/>
  <c r="P40" i="2"/>
  <c r="Q40" i="2" s="1"/>
  <c r="P41" i="2"/>
  <c r="Q41" i="2" s="1"/>
  <c r="P42" i="2"/>
  <c r="R42" i="2" s="1"/>
  <c r="P43" i="2"/>
  <c r="Q43" i="2" s="1"/>
  <c r="P44" i="2"/>
  <c r="Q44" i="2" s="1"/>
  <c r="P45" i="2"/>
  <c r="Q45" i="2" s="1"/>
  <c r="P46" i="2"/>
  <c r="R46" i="2" s="1"/>
  <c r="P47" i="2"/>
  <c r="Q47" i="2" s="1"/>
  <c r="P48" i="2"/>
  <c r="P49" i="2"/>
  <c r="R49" i="2" s="1"/>
  <c r="P50" i="2"/>
  <c r="Q50" i="2" s="1"/>
  <c r="Q14" i="2"/>
  <c r="S13" i="2"/>
  <c r="S14" i="2"/>
  <c r="Q15" i="2"/>
  <c r="S15" i="2"/>
  <c r="S16" i="2"/>
  <c r="S17" i="2"/>
  <c r="S18" i="2"/>
  <c r="S19" i="2"/>
  <c r="S20" i="2"/>
  <c r="S21" i="2"/>
  <c r="S22" i="2"/>
  <c r="S23" i="2"/>
  <c r="S24" i="2"/>
  <c r="Q25" i="2"/>
  <c r="S25" i="2"/>
  <c r="R26" i="2"/>
  <c r="S26" i="2"/>
  <c r="S27" i="2"/>
  <c r="S28" i="2"/>
  <c r="Q29" i="2"/>
  <c r="S29" i="2"/>
  <c r="R30" i="2"/>
  <c r="S30" i="2"/>
  <c r="S31" i="2"/>
  <c r="Q32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Q48" i="2"/>
  <c r="S48" i="2"/>
  <c r="S49" i="2"/>
  <c r="S50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Q16" i="2" l="1"/>
  <c r="R41" i="2"/>
  <c r="Q49" i="2"/>
  <c r="R17" i="2"/>
  <c r="Q46" i="2"/>
  <c r="Q34" i="2"/>
  <c r="Q21" i="2"/>
  <c r="R37" i="2"/>
  <c r="R50" i="2"/>
  <c r="R27" i="2"/>
  <c r="R13" i="2"/>
  <c r="R45" i="2"/>
  <c r="Q42" i="2"/>
  <c r="R38" i="2"/>
  <c r="R33" i="2"/>
  <c r="R24" i="2"/>
  <c r="R20" i="2"/>
  <c r="R48" i="2"/>
  <c r="R44" i="2"/>
  <c r="R40" i="2"/>
  <c r="R36" i="2"/>
  <c r="R32" i="2"/>
  <c r="R29" i="2"/>
  <c r="R25" i="2"/>
  <c r="R23" i="2"/>
  <c r="R19" i="2"/>
  <c r="R15" i="2"/>
  <c r="R47" i="2"/>
  <c r="R43" i="2"/>
  <c r="R39" i="2"/>
  <c r="R35" i="2"/>
  <c r="R31" i="2"/>
  <c r="R28" i="2"/>
  <c r="R22" i="2"/>
  <c r="R18" i="2"/>
  <c r="R14" i="2"/>
  <c r="Q5" i="2"/>
  <c r="S5" i="2"/>
  <c r="R6" i="2"/>
  <c r="S6" i="2"/>
  <c r="Q8" i="2"/>
  <c r="S8" i="2"/>
  <c r="R9" i="2"/>
  <c r="S9" i="2"/>
  <c r="Q10" i="2"/>
  <c r="S10" i="2"/>
  <c r="R11" i="2"/>
  <c r="S11" i="2"/>
  <c r="Q12" i="2"/>
  <c r="S12" i="2"/>
  <c r="K5" i="2"/>
  <c r="K6" i="2"/>
  <c r="K7" i="2"/>
  <c r="K8" i="2"/>
  <c r="K9" i="2"/>
  <c r="K10" i="2"/>
  <c r="K11" i="2"/>
  <c r="K12" i="2"/>
  <c r="R10" i="2" l="1"/>
  <c r="Q11" i="2"/>
  <c r="Q6" i="2"/>
  <c r="R8" i="2"/>
  <c r="Q9" i="2"/>
  <c r="R12" i="2"/>
  <c r="R5" i="2"/>
  <c r="K4" i="2"/>
  <c r="O51" i="2" l="1"/>
  <c r="I51" i="2"/>
  <c r="J51" i="2"/>
  <c r="K51" i="2" l="1"/>
  <c r="T23" i="2" l="1"/>
  <c r="T20" i="2"/>
  <c r="T35" i="2"/>
  <c r="T24" i="2"/>
  <c r="T45" i="2"/>
  <c r="T41" i="2"/>
  <c r="T27" i="2"/>
  <c r="T13" i="2"/>
  <c r="T47" i="2"/>
  <c r="T32" i="2"/>
  <c r="T21" i="2"/>
  <c r="T44" i="2"/>
  <c r="T48" i="2"/>
  <c r="T26" i="2"/>
  <c r="T16" i="2"/>
  <c r="T17" i="2"/>
  <c r="T28" i="2"/>
  <c r="T46" i="2"/>
  <c r="T15" i="2"/>
  <c r="T19" i="2"/>
  <c r="T40" i="2"/>
  <c r="T18" i="2"/>
  <c r="T29" i="2"/>
  <c r="T14" i="2"/>
  <c r="T43" i="2"/>
  <c r="T37" i="2"/>
  <c r="T39" i="2"/>
  <c r="T25" i="2"/>
  <c r="T22" i="2"/>
  <c r="T50" i="2"/>
  <c r="T31" i="2"/>
  <c r="T33" i="2"/>
  <c r="T38" i="2"/>
  <c r="T30" i="2"/>
  <c r="T34" i="2"/>
  <c r="T49" i="2"/>
  <c r="T42" i="2"/>
  <c r="T36" i="2"/>
  <c r="T9" i="2"/>
  <c r="T8" i="2"/>
  <c r="T6" i="2"/>
  <c r="T12" i="2"/>
  <c r="T11" i="2"/>
  <c r="T10" i="2"/>
  <c r="T5" i="2"/>
  <c r="N12" i="1" l="1"/>
  <c r="F9" i="1" l="1"/>
  <c r="F8" i="1"/>
  <c r="N11" i="1"/>
  <c r="J9" i="1"/>
  <c r="J8" i="1"/>
  <c r="N9" i="1"/>
  <c r="N8" i="1"/>
  <c r="O6" i="1"/>
  <c r="F6" i="1"/>
  <c r="J4" i="1"/>
  <c r="H14" i="1" l="1"/>
  <c r="L13" i="1"/>
  <c r="H13" i="1"/>
  <c r="L14" i="1"/>
  <c r="L12" i="1"/>
  <c r="P13" i="1"/>
  <c r="H12" i="1"/>
  <c r="P10" i="1"/>
  <c r="L10" i="1"/>
  <c r="H10" i="1"/>
  <c r="P7" i="1"/>
  <c r="L7" i="1"/>
  <c r="H7" i="1"/>
  <c r="L6" i="1"/>
  <c r="P5" i="1"/>
  <c r="H5" i="1"/>
  <c r="O4" i="1"/>
  <c r="H6" i="1"/>
  <c r="K14" i="1"/>
  <c r="G14" i="1"/>
  <c r="G13" i="1"/>
  <c r="G12" i="1"/>
  <c r="K6" i="1"/>
  <c r="G5" i="1"/>
  <c r="O10" i="1"/>
  <c r="K10" i="1"/>
  <c r="O7" i="1"/>
  <c r="G6" i="1"/>
  <c r="P9" i="1"/>
  <c r="K9" i="1"/>
  <c r="L11" i="1"/>
  <c r="P8" i="1"/>
  <c r="K8" i="1"/>
  <c r="O9" i="1"/>
  <c r="P11" i="1"/>
  <c r="K11" i="1"/>
  <c r="O8" i="1"/>
  <c r="G11" i="1"/>
  <c r="G8" i="1"/>
  <c r="H9" i="1"/>
  <c r="O11" i="1"/>
  <c r="H11" i="1"/>
  <c r="H8" i="1"/>
  <c r="L9" i="1"/>
  <c r="G9" i="1"/>
  <c r="L8" i="1"/>
  <c r="K4" i="1"/>
  <c r="O13" i="1"/>
  <c r="G10" i="1"/>
  <c r="K7" i="1"/>
  <c r="O5" i="1"/>
  <c r="P6" i="1"/>
  <c r="Q6" i="1" s="1"/>
  <c r="L5" i="1"/>
  <c r="O14" i="1"/>
  <c r="K13" i="1"/>
  <c r="K12" i="1"/>
  <c r="G7" i="1"/>
  <c r="K5" i="1"/>
  <c r="P4" i="1"/>
  <c r="P14" i="1"/>
  <c r="P12" i="1"/>
  <c r="G4" i="1"/>
  <c r="H4" i="1"/>
  <c r="O12" i="1"/>
  <c r="L4" i="1"/>
  <c r="J7" i="1"/>
  <c r="J11" i="1"/>
  <c r="J14" i="1"/>
  <c r="F5" i="1"/>
  <c r="J6" i="1"/>
  <c r="N7" i="1"/>
  <c r="J10" i="1"/>
  <c r="J13" i="1"/>
  <c r="N14" i="1"/>
  <c r="N4" i="1"/>
  <c r="J5" i="1"/>
  <c r="N6" i="1"/>
  <c r="N10" i="1"/>
  <c r="F12" i="1"/>
  <c r="N13" i="1"/>
  <c r="F4" i="1"/>
  <c r="F10" i="1"/>
  <c r="F13" i="1"/>
  <c r="N5" i="1"/>
  <c r="F7" i="1"/>
  <c r="F11" i="1"/>
  <c r="J12" i="1"/>
  <c r="F14" i="1"/>
  <c r="I7" i="1" l="1"/>
  <c r="I5" i="1"/>
  <c r="Q5" i="1"/>
  <c r="I14" i="1"/>
  <c r="P15" i="1"/>
  <c r="Q7" i="1"/>
  <c r="N15" i="1"/>
  <c r="M14" i="1"/>
  <c r="D13" i="1"/>
  <c r="I12" i="1"/>
  <c r="D12" i="1"/>
  <c r="I13" i="1"/>
  <c r="M10" i="1"/>
  <c r="M12" i="1"/>
  <c r="Q4" i="1"/>
  <c r="I10" i="1"/>
  <c r="Q13" i="1"/>
  <c r="M6" i="1"/>
  <c r="Q10" i="1"/>
  <c r="D10" i="1"/>
  <c r="M7" i="1"/>
  <c r="D7" i="1"/>
  <c r="C14" i="1"/>
  <c r="D5" i="1"/>
  <c r="C6" i="1"/>
  <c r="M5" i="1"/>
  <c r="I6" i="1"/>
  <c r="D6" i="1"/>
  <c r="M8" i="1"/>
  <c r="D9" i="1"/>
  <c r="I9" i="1"/>
  <c r="D8" i="1"/>
  <c r="Q11" i="1"/>
  <c r="M11" i="1"/>
  <c r="D11" i="1"/>
  <c r="Q9" i="1"/>
  <c r="H15" i="1"/>
  <c r="I8" i="1"/>
  <c r="Q8" i="1"/>
  <c r="I11" i="1"/>
  <c r="M9" i="1"/>
  <c r="C10" i="1"/>
  <c r="C4" i="1"/>
  <c r="C9" i="1"/>
  <c r="C13" i="1"/>
  <c r="C11" i="1"/>
  <c r="C7" i="1"/>
  <c r="L15" i="1"/>
  <c r="Q14" i="1"/>
  <c r="Q12" i="1"/>
  <c r="C8" i="1"/>
  <c r="C5" i="1"/>
  <c r="M13" i="1"/>
  <c r="K15" i="1"/>
  <c r="G15" i="1"/>
  <c r="C12" i="1"/>
  <c r="M4" i="1"/>
  <c r="O15" i="1"/>
  <c r="D14" i="1"/>
  <c r="D4" i="1"/>
  <c r="B6" i="1"/>
  <c r="I4" i="1"/>
  <c r="B11" i="1"/>
  <c r="B8" i="1"/>
  <c r="B14" i="1"/>
  <c r="J15" i="1"/>
  <c r="B12" i="1"/>
  <c r="B7" i="1"/>
  <c r="B13" i="1"/>
  <c r="B4" i="1"/>
  <c r="F15" i="1"/>
  <c r="B5" i="1"/>
  <c r="B10" i="1"/>
  <c r="B9" i="1"/>
  <c r="E5" i="1" l="1"/>
  <c r="E7" i="1"/>
  <c r="E14" i="1"/>
  <c r="E10" i="1"/>
  <c r="E12" i="1"/>
  <c r="E13" i="1"/>
  <c r="E6" i="1"/>
  <c r="E11" i="1"/>
  <c r="E8" i="1"/>
  <c r="E9" i="1"/>
  <c r="M15" i="1"/>
  <c r="C15" i="1"/>
  <c r="E4" i="1"/>
  <c r="Q15" i="1"/>
  <c r="I15" i="1"/>
  <c r="D15" i="1"/>
  <c r="B15" i="1"/>
  <c r="E15" i="1" l="1"/>
</calcChain>
</file>

<file path=xl/sharedStrings.xml><?xml version="1.0" encoding="utf-8"?>
<sst xmlns="http://schemas.openxmlformats.org/spreadsheetml/2006/main" count="744" uniqueCount="111">
  <si>
    <t>지 목</t>
    <phoneticPr fontId="2" type="noConversion"/>
  </si>
  <si>
    <t>합       계</t>
    <phoneticPr fontId="2" type="noConversion"/>
  </si>
  <si>
    <t>국     유     지</t>
    <phoneticPr fontId="2" type="noConversion"/>
  </si>
  <si>
    <t>공     유     지</t>
    <phoneticPr fontId="2" type="noConversion"/>
  </si>
  <si>
    <t>사     유     지</t>
    <phoneticPr fontId="2" type="noConversion"/>
  </si>
  <si>
    <t>필 지</t>
    <phoneticPr fontId="2" type="noConversion"/>
  </si>
  <si>
    <t>지  적</t>
    <phoneticPr fontId="2" type="noConversion"/>
  </si>
  <si>
    <t>편입면적</t>
    <phoneticPr fontId="2" type="noConversion"/>
  </si>
  <si>
    <t>잔여면적</t>
    <phoneticPr fontId="2" type="noConversion"/>
  </si>
  <si>
    <t>필 지</t>
    <phoneticPr fontId="2" type="noConversion"/>
  </si>
  <si>
    <t>구거</t>
    <phoneticPr fontId="2" type="noConversion"/>
  </si>
  <si>
    <t>답</t>
    <phoneticPr fontId="2" type="noConversion"/>
  </si>
  <si>
    <t>대지</t>
    <phoneticPr fontId="2" type="noConversion"/>
  </si>
  <si>
    <t>도로</t>
    <phoneticPr fontId="2" type="noConversion"/>
  </si>
  <si>
    <t>임야</t>
    <phoneticPr fontId="2" type="noConversion"/>
  </si>
  <si>
    <t>전</t>
    <phoneticPr fontId="2" type="noConversion"/>
  </si>
  <si>
    <t>잡종지</t>
    <phoneticPr fontId="2" type="noConversion"/>
  </si>
  <si>
    <t>하천</t>
    <phoneticPr fontId="2" type="noConversion"/>
  </si>
  <si>
    <t>계</t>
    <phoneticPr fontId="2" type="noConversion"/>
  </si>
  <si>
    <t>번호</t>
    <phoneticPr fontId="2" type="noConversion"/>
  </si>
  <si>
    <t>토   지   소   재   지</t>
  </si>
  <si>
    <t>지목</t>
    <phoneticPr fontId="2" type="noConversion"/>
  </si>
  <si>
    <t>지적면적</t>
    <phoneticPr fontId="2" type="noConversion"/>
  </si>
  <si>
    <t>등 기 부 등 본</t>
    <phoneticPr fontId="2" type="noConversion"/>
  </si>
  <si>
    <t>비   고</t>
    <phoneticPr fontId="2" type="noConversion"/>
  </si>
  <si>
    <t>도</t>
    <phoneticPr fontId="2" type="noConversion"/>
  </si>
  <si>
    <t>시.군</t>
    <phoneticPr fontId="2" type="noConversion"/>
  </si>
  <si>
    <t>(㎡)</t>
    <phoneticPr fontId="2" type="noConversion"/>
  </si>
  <si>
    <t>성   명</t>
  </si>
  <si>
    <t>주     소</t>
    <phoneticPr fontId="2" type="noConversion"/>
  </si>
  <si>
    <t>전북</t>
    <phoneticPr fontId="2" type="noConversion"/>
  </si>
  <si>
    <t>계</t>
    <phoneticPr fontId="2" type="noConversion"/>
  </si>
  <si>
    <t>철도용지</t>
    <phoneticPr fontId="2" type="noConversion"/>
  </si>
  <si>
    <t>수도용지</t>
    <phoneticPr fontId="2" type="noConversion"/>
  </si>
  <si>
    <t>제방</t>
    <phoneticPr fontId="2" type="noConversion"/>
  </si>
  <si>
    <t>편입면적</t>
    <phoneticPr fontId="2" type="noConversion"/>
  </si>
  <si>
    <t>잔여면적</t>
    <phoneticPr fontId="2" type="noConversion"/>
  </si>
  <si>
    <t xml:space="preserve">편  입  용  지  조  서  </t>
    <phoneticPr fontId="2" type="noConversion"/>
  </si>
  <si>
    <t>편 입 용 지 집 계 표</t>
    <phoneticPr fontId="2" type="noConversion"/>
  </si>
  <si>
    <t>리</t>
    <phoneticPr fontId="2" type="noConversion"/>
  </si>
  <si>
    <t>면</t>
    <phoneticPr fontId="2" type="noConversion"/>
  </si>
  <si>
    <t>임</t>
  </si>
  <si>
    <t>임실</t>
    <phoneticPr fontId="2" type="noConversion"/>
  </si>
  <si>
    <t>도</t>
  </si>
  <si>
    <t>임실군</t>
  </si>
  <si>
    <t>운암</t>
    <phoneticPr fontId="2" type="noConversion"/>
  </si>
  <si>
    <t>마암</t>
    <phoneticPr fontId="2" type="noConversion"/>
  </si>
  <si>
    <t>504-38</t>
  </si>
  <si>
    <t>504-47</t>
  </si>
  <si>
    <t>504-55</t>
  </si>
  <si>
    <t>504-56</t>
  </si>
  <si>
    <t>504-57</t>
  </si>
  <si>
    <t>504-58</t>
  </si>
  <si>
    <t>504-70</t>
  </si>
  <si>
    <t>전라북도</t>
  </si>
  <si>
    <t>전</t>
  </si>
  <si>
    <t>516-3</t>
  </si>
  <si>
    <t>산146</t>
  </si>
  <si>
    <t>산146-1</t>
  </si>
  <si>
    <t>산146-12</t>
  </si>
  <si>
    <t>유</t>
  </si>
  <si>
    <t>산146-13</t>
  </si>
  <si>
    <t>산146-2</t>
  </si>
  <si>
    <t>산146-3</t>
  </si>
  <si>
    <t>산146-5</t>
  </si>
  <si>
    <t>국(건설부)</t>
  </si>
  <si>
    <t>산146-6</t>
  </si>
  <si>
    <t>산146-7</t>
  </si>
  <si>
    <t>산146-8</t>
  </si>
  <si>
    <t>산147-1</t>
  </si>
  <si>
    <t>산147-10</t>
  </si>
  <si>
    <t>산147-12</t>
  </si>
  <si>
    <t>산147-15</t>
  </si>
  <si>
    <t>산147-16</t>
  </si>
  <si>
    <t>국(건설교통부)</t>
  </si>
  <si>
    <t>국(환경부)</t>
  </si>
  <si>
    <t>산147-3</t>
  </si>
  <si>
    <t>산147-8</t>
  </si>
  <si>
    <t>산147-9</t>
  </si>
  <si>
    <t>산148-2</t>
  </si>
  <si>
    <t>산148-4</t>
  </si>
  <si>
    <t>산148-8</t>
  </si>
  <si>
    <t>산148-9</t>
  </si>
  <si>
    <t>산148-13</t>
  </si>
  <si>
    <t>산149-10</t>
  </si>
  <si>
    <t>산149-4</t>
  </si>
  <si>
    <t>산149-6</t>
  </si>
  <si>
    <t>산149-8</t>
  </si>
  <si>
    <t>산152-1</t>
  </si>
  <si>
    <t>산152-3</t>
  </si>
  <si>
    <t>산152-4</t>
  </si>
  <si>
    <t>산152-7</t>
  </si>
  <si>
    <t>산152-8</t>
  </si>
  <si>
    <t>산152-9</t>
  </si>
  <si>
    <t>산153-10</t>
  </si>
  <si>
    <t>산153-3</t>
  </si>
  <si>
    <t>산153-6</t>
  </si>
  <si>
    <t>산153-8</t>
  </si>
  <si>
    <t>지번</t>
    <phoneticPr fontId="2" type="noConversion"/>
  </si>
  <si>
    <t>당초</t>
    <phoneticPr fontId="2" type="noConversion"/>
  </si>
  <si>
    <t>확정</t>
    <phoneticPr fontId="2" type="noConversion"/>
  </si>
  <si>
    <t>삼계</t>
    <phoneticPr fontId="2" type="noConversion"/>
  </si>
  <si>
    <t>후천</t>
    <phoneticPr fontId="2" type="noConversion"/>
  </si>
  <si>
    <t>777-1</t>
    <phoneticPr fontId="2" type="noConversion"/>
  </si>
  <si>
    <t>임실군 삼계면 후천리 470</t>
    <phoneticPr fontId="2" type="noConversion"/>
  </si>
  <si>
    <t>596-3</t>
    <phoneticPr fontId="2" type="noConversion"/>
  </si>
  <si>
    <t>노인상</t>
    <phoneticPr fontId="2" type="noConversion"/>
  </si>
  <si>
    <t>777-6</t>
    <phoneticPr fontId="2" type="noConversion"/>
  </si>
  <si>
    <t>답</t>
    <phoneticPr fontId="2" type="noConversion"/>
  </si>
  <si>
    <t>596-11</t>
    <phoneticPr fontId="2" type="noConversion"/>
  </si>
  <si>
    <t>노*상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</si>
</sst>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 "/>
    <numFmt numFmtId="177" formatCode="_-* #,##0.0000_-;\-* #,##0.0000_-;_-* &quot;-&quot;_-;_-@_-"/>
    <numFmt numFmtId="178" formatCode="#,##0.0_ "/>
    <numFmt numFmtId="179" formatCode="_-* #,##0.0_-;\-* #,##0.0_-;_-* &quot;-&quot;_-;_-@_-"/>
    <numFmt numFmtId="180" formatCode="0_ "/>
  </numFmts>
  <fonts count="16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굴림"/>
      <family val="3"/>
      <charset val="129"/>
    </font>
    <font>
      <b/>
      <sz val="8"/>
      <color indexed="8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sz val="10"/>
      <name val="바탕체"/>
      <family val="1"/>
      <charset val="129"/>
    </font>
    <font>
      <sz val="10"/>
      <color rgb="FF000000"/>
      <name val="돋움"/>
      <family val="3"/>
      <charset val="129"/>
    </font>
    <font>
      <sz val="9"/>
      <color rgb="FFFF0000"/>
      <name val="굴림"/>
      <family val="3"/>
      <charset val="129"/>
    </font>
    <font>
      <sz val="10"/>
      <color rgb="FFFF0000"/>
      <name val="돋움"/>
      <family val="3"/>
      <charset val="129"/>
    </font>
    <font>
      <sz val="10"/>
      <color rgb="FFFF0000"/>
      <name val="굴림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41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6" fillId="0" borderId="0" xfId="0" applyNumberFormat="1" applyFont="1" applyFill="1" applyAlignment="1"/>
    <xf numFmtId="176" fontId="6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/>
    <xf numFmtId="176" fontId="7" fillId="0" borderId="0" xfId="0" applyNumberFormat="1" applyFont="1" applyFill="1" applyAlignment="1">
      <alignment horizontal="center" vertical="center"/>
    </xf>
    <xf numFmtId="180" fontId="7" fillId="0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/>
    </xf>
    <xf numFmtId="179" fontId="6" fillId="0" borderId="0" xfId="0" applyNumberFormat="1" applyFont="1" applyFill="1" applyAlignment="1">
      <alignment vertical="center"/>
    </xf>
    <xf numFmtId="180" fontId="7" fillId="0" borderId="0" xfId="1" applyNumberFormat="1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Fill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8" fontId="7" fillId="0" borderId="6" xfId="0" applyNumberFormat="1" applyFont="1" applyFill="1" applyBorder="1" applyAlignment="1">
      <alignment horizontal="center" vertical="center"/>
    </xf>
    <xf numFmtId="179" fontId="7" fillId="0" borderId="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/>
    </xf>
    <xf numFmtId="49" fontId="10" fillId="0" borderId="0" xfId="4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center"/>
    </xf>
    <xf numFmtId="176" fontId="7" fillId="2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right" vertical="center" wrapText="1"/>
    </xf>
    <xf numFmtId="3" fontId="11" fillId="0" borderId="24" xfId="0" applyNumberFormat="1" applyFont="1" applyBorder="1" applyAlignment="1">
      <alignment horizontal="right" vertical="center" wrapText="1"/>
    </xf>
    <xf numFmtId="0" fontId="11" fillId="0" borderId="24" xfId="0" applyFont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176" fontId="7" fillId="0" borderId="6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176" fontId="12" fillId="2" borderId="6" xfId="0" applyNumberFormat="1" applyFont="1" applyFill="1" applyBorder="1" applyAlignment="1">
      <alignment horizontal="center" vertical="center" wrapText="1"/>
    </xf>
    <xf numFmtId="176" fontId="12" fillId="2" borderId="0" xfId="0" applyNumberFormat="1" applyFont="1" applyFill="1" applyAlignment="1">
      <alignment horizontal="center" vertical="center"/>
    </xf>
    <xf numFmtId="176" fontId="14" fillId="2" borderId="0" xfId="0" applyNumberFormat="1" applyFont="1" applyFill="1" applyAlignment="1">
      <alignment horizontal="left" vertical="center"/>
    </xf>
    <xf numFmtId="180" fontId="12" fillId="2" borderId="0" xfId="1" applyNumberFormat="1" applyFont="1" applyFill="1" applyBorder="1" applyAlignment="1" applyProtection="1">
      <alignment horizontal="center" vertical="center"/>
      <protection locked="0"/>
    </xf>
    <xf numFmtId="176" fontId="14" fillId="2" borderId="0" xfId="0" applyNumberFormat="1" applyFont="1" applyFill="1" applyAlignment="1">
      <alignment vertic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right" vertical="center" wrapText="1"/>
    </xf>
    <xf numFmtId="176" fontId="7" fillId="2" borderId="6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left" vertical="center"/>
    </xf>
    <xf numFmtId="180" fontId="7" fillId="2" borderId="0" xfId="1" applyNumberFormat="1" applyFont="1" applyFill="1" applyBorder="1" applyAlignment="1" applyProtection="1">
      <alignment horizontal="center" vertical="center"/>
      <protection locked="0"/>
    </xf>
    <xf numFmtId="176" fontId="6" fillId="2" borderId="0" xfId="0" applyNumberFormat="1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vertical="top"/>
    </xf>
  </cellXfs>
  <cellStyles count="5">
    <cellStyle name="쉼표 [0] 2" xfId="3"/>
    <cellStyle name="표준" xfId="0" builtinId="0"/>
    <cellStyle name="표준 2" xfId="1"/>
    <cellStyle name="표준 3" xfId="2"/>
    <cellStyle name="표준_용지조서061118" xfId="4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Q19"/>
  <sheetViews>
    <sheetView showZeros="0" view="pageBreakPreview" zoomScale="115" zoomScaleNormal="100" zoomScaleSheetLayoutView="115" workbookViewId="0">
      <selection activeCell="H4" sqref="H4"/>
    </sheetView>
  </sheetViews>
  <sheetFormatPr defaultRowHeight="28.5" customHeight="1" x14ac:dyDescent="0.15"/>
  <cols>
    <col min="1" max="1" width="6.5546875" style="1" customWidth="1"/>
    <col min="2" max="2" width="4.5546875" style="1" customWidth="1"/>
    <col min="3" max="3" width="7.88671875" style="1" customWidth="1"/>
    <col min="4" max="4" width="6.5546875" style="1" customWidth="1"/>
    <col min="5" max="5" width="7.88671875" style="1" customWidth="1"/>
    <col min="6" max="6" width="4.5546875" style="1" customWidth="1"/>
    <col min="7" max="7" width="7.88671875" style="1" customWidth="1"/>
    <col min="8" max="8" width="6.5546875" style="1" customWidth="1"/>
    <col min="9" max="9" width="7.88671875" style="1" customWidth="1"/>
    <col min="10" max="10" width="4.5546875" style="1" customWidth="1"/>
    <col min="11" max="11" width="7.88671875" style="1" customWidth="1"/>
    <col min="12" max="12" width="6.5546875" style="1" customWidth="1"/>
    <col min="13" max="13" width="7.88671875" style="1" customWidth="1"/>
    <col min="14" max="14" width="4.5546875" style="1" customWidth="1"/>
    <col min="15" max="15" width="7.88671875" style="1" customWidth="1"/>
    <col min="16" max="16" width="6.5546875" style="1" customWidth="1"/>
    <col min="17" max="17" width="7.88671875" style="1" customWidth="1"/>
    <col min="18" max="16384" width="8.88671875" style="1"/>
  </cols>
  <sheetData>
    <row r="1" spans="1:17" ht="39.950000000000003" customHeight="1" x14ac:dyDescent="0.15">
      <c r="A1" s="85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28.5" customHeight="1" x14ac:dyDescent="0.15">
      <c r="A2" s="86" t="s">
        <v>0</v>
      </c>
      <c r="B2" s="87" t="s">
        <v>1</v>
      </c>
      <c r="C2" s="87"/>
      <c r="D2" s="87"/>
      <c r="E2" s="88"/>
      <c r="F2" s="89" t="s">
        <v>2</v>
      </c>
      <c r="G2" s="87"/>
      <c r="H2" s="87"/>
      <c r="I2" s="88"/>
      <c r="J2" s="89" t="s">
        <v>3</v>
      </c>
      <c r="K2" s="87"/>
      <c r="L2" s="87"/>
      <c r="M2" s="88"/>
      <c r="N2" s="89" t="s">
        <v>4</v>
      </c>
      <c r="O2" s="87"/>
      <c r="P2" s="87"/>
      <c r="Q2" s="90"/>
    </row>
    <row r="3" spans="1:17" ht="28.5" customHeight="1" x14ac:dyDescent="0.15">
      <c r="A3" s="86"/>
      <c r="B3" s="28" t="s">
        <v>5</v>
      </c>
      <c r="C3" s="29" t="s">
        <v>6</v>
      </c>
      <c r="D3" s="29" t="s">
        <v>7</v>
      </c>
      <c r="E3" s="30" t="s">
        <v>8</v>
      </c>
      <c r="F3" s="31" t="s">
        <v>9</v>
      </c>
      <c r="G3" s="29" t="s">
        <v>6</v>
      </c>
      <c r="H3" s="29" t="s">
        <v>7</v>
      </c>
      <c r="I3" s="30" t="s">
        <v>8</v>
      </c>
      <c r="J3" s="31" t="s">
        <v>9</v>
      </c>
      <c r="K3" s="29" t="s">
        <v>6</v>
      </c>
      <c r="L3" s="29" t="s">
        <v>7</v>
      </c>
      <c r="M3" s="30" t="s">
        <v>8</v>
      </c>
      <c r="N3" s="31" t="s">
        <v>9</v>
      </c>
      <c r="O3" s="29" t="s">
        <v>6</v>
      </c>
      <c r="P3" s="29" t="s">
        <v>7</v>
      </c>
      <c r="Q3" s="29" t="s">
        <v>8</v>
      </c>
    </row>
    <row r="4" spans="1:17" ht="26.1" customHeight="1" x14ac:dyDescent="0.15">
      <c r="A4" s="32" t="s">
        <v>10</v>
      </c>
      <c r="B4" s="33">
        <f>SUM(F4,J4,N4)</f>
        <v>0</v>
      </c>
      <c r="C4" s="34">
        <f t="shared" ref="C4:E14" si="0">SUM(G4,K4,O4)</f>
        <v>0</v>
      </c>
      <c r="D4" s="34">
        <f>SUM(H4,L4,P4)</f>
        <v>0</v>
      </c>
      <c r="E4" s="34">
        <f t="shared" si="0"/>
        <v>0</v>
      </c>
      <c r="F4" s="35">
        <f>SUMIF(용지조서!$Q$1:$Q$818,"국유지구",용지조서!$O$1:$O$818)</f>
        <v>0</v>
      </c>
      <c r="G4" s="33">
        <f>SUMIF(용지조서!$R$1:$R$818,"국유지구",용지조서!$I$1:$I$818)</f>
        <v>0</v>
      </c>
      <c r="H4" s="33">
        <f>SUMIF(용지조서!$R$1:$R$818,"국유지구",용지조서!$J$1:$J$818)</f>
        <v>0</v>
      </c>
      <c r="I4" s="36">
        <f>G4-H4</f>
        <v>0</v>
      </c>
      <c r="J4" s="35">
        <f>SUMIF(용지조서!$Q$1:$Q$818,"공유지구",용지조서!$O$1:$O$818)</f>
        <v>0</v>
      </c>
      <c r="K4" s="33">
        <f>SUMIF(용지조서!$R$1:$R$818,"공유지구",용지조서!$I$1:$I$818)</f>
        <v>0</v>
      </c>
      <c r="L4" s="33">
        <f>SUMIF(용지조서!$R$1:$R$818,"공유지구",용지조서!$J$1:$J$818)</f>
        <v>0</v>
      </c>
      <c r="M4" s="36">
        <f>K4-L4</f>
        <v>0</v>
      </c>
      <c r="N4" s="34">
        <f>SUMIF(용지조서!$Q$1:$Q$818,"사유지구",용지조서!$O$1:$O$818)</f>
        <v>0</v>
      </c>
      <c r="O4" s="33">
        <f>SUMIF(용지조서!$R$1:$R$818,"사유지구",용지조서!$I$1:$I$818)</f>
        <v>0</v>
      </c>
      <c r="P4" s="33">
        <f>SUMIF(용지조서!$R$1:$R$818,"사유지구",용지조서!$J$1:$J$818)</f>
        <v>0</v>
      </c>
      <c r="Q4" s="33">
        <f>O4-P4</f>
        <v>0</v>
      </c>
    </row>
    <row r="5" spans="1:17" ht="26.1" customHeight="1" x14ac:dyDescent="0.15">
      <c r="A5" s="37" t="s">
        <v>11</v>
      </c>
      <c r="B5" s="38">
        <f t="shared" ref="B5:B14" si="1">SUM(F5,J5,N5)</f>
        <v>0</v>
      </c>
      <c r="C5" s="39">
        <f t="shared" si="0"/>
        <v>0</v>
      </c>
      <c r="D5" s="39">
        <f>SUM(H5,L5,P5)</f>
        <v>0</v>
      </c>
      <c r="E5" s="39">
        <f t="shared" si="0"/>
        <v>0</v>
      </c>
      <c r="F5" s="35">
        <f>SUMIF(용지조서!$Q$1:$Q$818,"국유지답",용지조서!$O$1:$O$818)</f>
        <v>0</v>
      </c>
      <c r="G5" s="33">
        <f>SUMIF(용지조서!$R$1:$R$818,"국유지답",용지조서!$I$1:$I$818)</f>
        <v>0</v>
      </c>
      <c r="H5" s="33">
        <f>SUMIF(용지조서!$R$1:$R$818,"국유지답",용지조서!$J$1:$J$818)</f>
        <v>0</v>
      </c>
      <c r="I5" s="40">
        <f t="shared" ref="I5:I14" si="2">G5-H5</f>
        <v>0</v>
      </c>
      <c r="J5" s="41">
        <f>SUMIF(용지조서!$Q$1:$Q$818,"공유지답",용지조서!$O$1:$O$818)</f>
        <v>0</v>
      </c>
      <c r="K5" s="38">
        <f>SUMIF(용지조서!$R$1:$R$818,"공유지답",용지조서!$I$1:$I$818)</f>
        <v>0</v>
      </c>
      <c r="L5" s="38">
        <f>SUMIF(용지조서!$R$1:$R$818,"공유지답",용지조서!$J$1:$J$818)</f>
        <v>0</v>
      </c>
      <c r="M5" s="40">
        <f t="shared" ref="M5:M14" si="3">K5-L5</f>
        <v>0</v>
      </c>
      <c r="N5" s="34">
        <f>SUMIF(용지조서!$Q$1:$Q$818,"사유지답",용지조서!$O$1:$O$818)</f>
        <v>0</v>
      </c>
      <c r="O5" s="33">
        <f>SUMIF(용지조서!$R$1:$R$818,"사유지답",용지조서!$I$1:$I$818)</f>
        <v>0</v>
      </c>
      <c r="P5" s="33">
        <f>SUMIF(용지조서!$R$1:$R$818,"사유지답",용지조서!$J$1:$J$818)</f>
        <v>0</v>
      </c>
      <c r="Q5" s="38">
        <f t="shared" ref="Q5:Q14" si="4">O5-P5</f>
        <v>0</v>
      </c>
    </row>
    <row r="6" spans="1:17" ht="26.1" customHeight="1" x14ac:dyDescent="0.15">
      <c r="A6" s="37" t="s">
        <v>12</v>
      </c>
      <c r="B6" s="38">
        <f t="shared" si="1"/>
        <v>0</v>
      </c>
      <c r="C6" s="39">
        <f t="shared" si="0"/>
        <v>0</v>
      </c>
      <c r="D6" s="39">
        <f t="shared" si="0"/>
        <v>0</v>
      </c>
      <c r="E6" s="39">
        <f t="shared" si="0"/>
        <v>0</v>
      </c>
      <c r="F6" s="35">
        <f>SUMIF(용지조서!$Q$1:$Q$818,"국유지대",용지조서!$O$1:$O$818)</f>
        <v>0</v>
      </c>
      <c r="G6" s="33">
        <f>SUMIF(용지조서!$R$1:$R$818,"국유지대",용지조서!$I$1:$I$818)</f>
        <v>0</v>
      </c>
      <c r="H6" s="33">
        <f>SUMIF(용지조서!$R$1:$R$818,"국유지대",용지조서!$J$1:$J$818)</f>
        <v>0</v>
      </c>
      <c r="I6" s="40">
        <f t="shared" si="2"/>
        <v>0</v>
      </c>
      <c r="J6" s="41">
        <f>SUMIF(용지조서!$Q$4:$Q$818,"공유지대",용지조서!$O$4:$O$818)</f>
        <v>0</v>
      </c>
      <c r="K6" s="38">
        <f>SUMIF(용지조서!$R$4:$R$818,"공유지대",용지조서!$I$4:$I$818)</f>
        <v>0</v>
      </c>
      <c r="L6" s="38">
        <f>SUMIF(용지조서!$R$4:$R$818,"공유지대",용지조서!$J$4:$J$818)</f>
        <v>0</v>
      </c>
      <c r="M6" s="40">
        <f t="shared" si="3"/>
        <v>0</v>
      </c>
      <c r="N6" s="34">
        <f>SUMIF(용지조서!$Q$1:$Q$818,"사유지대",용지조서!$O$1:$O$818)</f>
        <v>0</v>
      </c>
      <c r="O6" s="33">
        <f>SUMIF(용지조서!$R$1:$R$818,"사유지대",용지조서!$I$1:$I$818)</f>
        <v>0</v>
      </c>
      <c r="P6" s="33">
        <f>SUMIF(용지조서!$R$1:$R$818,"사유지대",용지조서!$J$1:$J$818)</f>
        <v>0</v>
      </c>
      <c r="Q6" s="38">
        <f t="shared" si="4"/>
        <v>0</v>
      </c>
    </row>
    <row r="7" spans="1:17" ht="26.1" customHeight="1" x14ac:dyDescent="0.15">
      <c r="A7" s="37" t="s">
        <v>13</v>
      </c>
      <c r="B7" s="38">
        <f t="shared" si="1"/>
        <v>27</v>
      </c>
      <c r="C7" s="39">
        <f t="shared" si="0"/>
        <v>4336</v>
      </c>
      <c r="D7" s="39">
        <f t="shared" si="0"/>
        <v>3333</v>
      </c>
      <c r="E7" s="39">
        <f t="shared" si="0"/>
        <v>1003</v>
      </c>
      <c r="F7" s="35">
        <f>SUMIF(용지조서!$Q$1:$Q$818,"국유지도",용지조서!$O$1:$O$818)</f>
        <v>17</v>
      </c>
      <c r="G7" s="33">
        <f>SUMIF(용지조서!$R$1:$R$818,"국유지도",용지조서!$I$1:$I$818)</f>
        <v>2268</v>
      </c>
      <c r="H7" s="33">
        <f>SUMIF(용지조서!$R$1:$R$818,"국유지도",용지조서!$J$1:$J$818)</f>
        <v>1629</v>
      </c>
      <c r="I7" s="40">
        <f t="shared" si="2"/>
        <v>639</v>
      </c>
      <c r="J7" s="41">
        <f>SUMIF(용지조서!$Q$1:$Q$818,"공유지도",용지조서!$O$1:$O$818)</f>
        <v>10</v>
      </c>
      <c r="K7" s="38">
        <f>SUMIF(용지조서!$R$1:$R$818,"공유지도",용지조서!$I$1:$I$818)</f>
        <v>2068</v>
      </c>
      <c r="L7" s="38">
        <f>SUMIF(용지조서!$R$1:$R$818,"공유지도",용지조서!$J$1:$J$818)</f>
        <v>1704</v>
      </c>
      <c r="M7" s="40">
        <f t="shared" si="3"/>
        <v>364</v>
      </c>
      <c r="N7" s="34">
        <f>SUMIF(용지조서!$Q$1:$Q$818,"사유지도",용지조서!$O$1:$O$818)</f>
        <v>0</v>
      </c>
      <c r="O7" s="33">
        <f>SUMIF(용지조서!$R$1:$R$818,"사유지도",용지조서!$I$1:$I$818)</f>
        <v>0</v>
      </c>
      <c r="P7" s="33">
        <f>SUMIF(용지조서!$R$1:$R$818,"사유지도",용지조서!$J$1:$J$818)</f>
        <v>0</v>
      </c>
      <c r="Q7" s="38">
        <f t="shared" si="4"/>
        <v>0</v>
      </c>
    </row>
    <row r="8" spans="1:17" ht="26.1" customHeight="1" x14ac:dyDescent="0.15">
      <c r="A8" s="37" t="s">
        <v>32</v>
      </c>
      <c r="B8" s="38">
        <f t="shared" si="1"/>
        <v>0</v>
      </c>
      <c r="C8" s="39">
        <f t="shared" si="0"/>
        <v>0</v>
      </c>
      <c r="D8" s="39">
        <f t="shared" si="0"/>
        <v>0</v>
      </c>
      <c r="E8" s="39">
        <f t="shared" si="0"/>
        <v>0</v>
      </c>
      <c r="F8" s="35">
        <f>SUMIF(용지조서!$Q$1:$Q$818,"국유지철",용지조서!$O$1:$O$818)</f>
        <v>0</v>
      </c>
      <c r="G8" s="33">
        <f>SUMIF(용지조서!$R$1:$R$818,"국유지철",용지조서!$I$1:$I$818)</f>
        <v>0</v>
      </c>
      <c r="H8" s="33">
        <f>SUMIF(용지조서!$R$1:$R$818,"국유지철",용지조서!$J$1:$J$818)</f>
        <v>0</v>
      </c>
      <c r="I8" s="40">
        <f t="shared" si="2"/>
        <v>0</v>
      </c>
      <c r="J8" s="41">
        <f>SUMIF(용지조서!$Q$1:$Q$818,"공유지철",용지조서!$O$1:$O$818)</f>
        <v>0</v>
      </c>
      <c r="K8" s="38">
        <f>SUMIF(용지조서!$R$1:$R$818,"공유지철",용지조서!$I$1:$I$818)</f>
        <v>0</v>
      </c>
      <c r="L8" s="38">
        <f>SUMIF(용지조서!$R$1:$R$818,"공유지철",용지조서!$J$1:$J$818)</f>
        <v>0</v>
      </c>
      <c r="M8" s="40">
        <f t="shared" si="3"/>
        <v>0</v>
      </c>
      <c r="N8" s="34">
        <f>SUMIF(용지조서!$Q$1:$Q$818,"사유지철",용지조서!$O$1:$O$818)</f>
        <v>0</v>
      </c>
      <c r="O8" s="33">
        <f>SUMIF(용지조서!$R$1:$R$818,"사유지철",용지조서!$I$1:$I$818)</f>
        <v>0</v>
      </c>
      <c r="P8" s="33">
        <f>SUMIF(용지조서!$R$1:$R$818,"사유지철",용지조서!$J$1:$J$818)</f>
        <v>0</v>
      </c>
      <c r="Q8" s="38">
        <f t="shared" si="4"/>
        <v>0</v>
      </c>
    </row>
    <row r="9" spans="1:17" ht="26.1" customHeight="1" x14ac:dyDescent="0.15">
      <c r="A9" s="37" t="s">
        <v>34</v>
      </c>
      <c r="B9" s="38">
        <f t="shared" si="1"/>
        <v>0</v>
      </c>
      <c r="C9" s="39">
        <f t="shared" si="0"/>
        <v>0</v>
      </c>
      <c r="D9" s="39">
        <f t="shared" si="0"/>
        <v>0</v>
      </c>
      <c r="E9" s="39">
        <f t="shared" si="0"/>
        <v>0</v>
      </c>
      <c r="F9" s="35">
        <f>SUMIF(용지조서!$Q$1:$Q$818,"국유지제",용지조서!$O$1:$O$818)</f>
        <v>0</v>
      </c>
      <c r="G9" s="33">
        <f>SUMIF(용지조서!$R$1:$R$818,"국유지제",용지조서!$I$1:$I$818)</f>
        <v>0</v>
      </c>
      <c r="H9" s="33">
        <f>SUMIF(용지조서!$R$1:$R$818,"국유지제",용지조서!$J$1:$J$818)</f>
        <v>0</v>
      </c>
      <c r="I9" s="40">
        <f t="shared" si="2"/>
        <v>0</v>
      </c>
      <c r="J9" s="41">
        <f>SUMIF(용지조서!$Q$1:$Q$818,"공유지제",용지조서!$O$1:$O$818)</f>
        <v>0</v>
      </c>
      <c r="K9" s="38">
        <f>SUMIF(용지조서!$R$1:$R$818,"공유지제",용지조서!$I$1:$I$818)</f>
        <v>0</v>
      </c>
      <c r="L9" s="38">
        <f>SUMIF(용지조서!$R$1:$R$818,"공유지제",용지조서!$J$1:$J$818)</f>
        <v>0</v>
      </c>
      <c r="M9" s="40">
        <f t="shared" si="3"/>
        <v>0</v>
      </c>
      <c r="N9" s="34">
        <f>SUMIF(용지조서!$Q$1:$Q$818,"사유지제",용지조서!$O$1:$O$818)</f>
        <v>0</v>
      </c>
      <c r="O9" s="33">
        <f>SUMIF(용지조서!$R$1:$R$818,"사유지제",용지조서!$I$1:$I$818)</f>
        <v>0</v>
      </c>
      <c r="P9" s="33">
        <f>SUMIF(용지조서!$R$1:$R$818,"사유지제",용지조서!$J$1:$J$818)</f>
        <v>0</v>
      </c>
      <c r="Q9" s="38">
        <f t="shared" si="4"/>
        <v>0</v>
      </c>
    </row>
    <row r="10" spans="1:17" ht="26.1" customHeight="1" x14ac:dyDescent="0.15">
      <c r="A10" s="37" t="s">
        <v>14</v>
      </c>
      <c r="B10" s="38">
        <f t="shared" si="1"/>
        <v>12</v>
      </c>
      <c r="C10" s="39">
        <f t="shared" si="0"/>
        <v>2911</v>
      </c>
      <c r="D10" s="39">
        <f>SUM(H10,L10,P10)</f>
        <v>2029</v>
      </c>
      <c r="E10" s="39">
        <f t="shared" si="0"/>
        <v>882</v>
      </c>
      <c r="F10" s="35">
        <f>SUMIF(용지조서!$Q$1:$Q$818,"국유지임",용지조서!$O$1:$O$818)</f>
        <v>1</v>
      </c>
      <c r="G10" s="33">
        <f>SUMIF(용지조서!$R$1:$R$818,"국유지임",용지조서!$I$1:$I$818)</f>
        <v>51</v>
      </c>
      <c r="H10" s="33">
        <f>SUMIF(용지조서!$R$1:$R$818,"국유지임",용지조서!$J$1:$J$818)</f>
        <v>51</v>
      </c>
      <c r="I10" s="40">
        <f t="shared" si="2"/>
        <v>0</v>
      </c>
      <c r="J10" s="41">
        <f>SUMIF(용지조서!$Q$1:$Q$818,"공유지임",용지조서!$O$1:$O$818)</f>
        <v>11</v>
      </c>
      <c r="K10" s="38">
        <f>SUMIF(용지조서!$R$1:$R$818,"공유지임",용지조서!$I$1:$I$818)</f>
        <v>2860</v>
      </c>
      <c r="L10" s="38">
        <f>SUMIF(용지조서!$R$1:$R$818,"공유지임",용지조서!$J$1:$J$818)</f>
        <v>1978</v>
      </c>
      <c r="M10" s="40">
        <f t="shared" si="3"/>
        <v>882</v>
      </c>
      <c r="N10" s="34">
        <f>SUMIF(용지조서!$Q$1:$Q$818,"사유지임",용지조서!$O$1:$O$818)</f>
        <v>0</v>
      </c>
      <c r="O10" s="33">
        <f>SUMIF(용지조서!$R$1:$R$818,"사유지임",용지조서!$I$1:$I$818)</f>
        <v>0</v>
      </c>
      <c r="P10" s="33">
        <f>SUMIF(용지조서!$R$1:$R$818,"사유지임",용지조서!$J$1:$J$818)</f>
        <v>0</v>
      </c>
      <c r="Q10" s="38">
        <f t="shared" si="4"/>
        <v>0</v>
      </c>
    </row>
    <row r="11" spans="1:17" ht="26.1" customHeight="1" x14ac:dyDescent="0.15">
      <c r="A11" s="37" t="s">
        <v>33</v>
      </c>
      <c r="B11" s="38">
        <f t="shared" si="1"/>
        <v>0</v>
      </c>
      <c r="C11" s="39">
        <f t="shared" si="0"/>
        <v>0</v>
      </c>
      <c r="D11" s="39">
        <f t="shared" si="0"/>
        <v>0</v>
      </c>
      <c r="E11" s="39">
        <f t="shared" si="0"/>
        <v>0</v>
      </c>
      <c r="F11" s="35">
        <f>SUMIF(용지조서!$Q$1:$Q$818,"국유지수",용지조서!$O$1:$O$818)</f>
        <v>0</v>
      </c>
      <c r="G11" s="33">
        <f>SUMIF(용지조서!$R$1:$R$818,"국유지수",용지조서!$I$1:$I$818)</f>
        <v>0</v>
      </c>
      <c r="H11" s="33">
        <f>SUMIF(용지조서!$R$1:$R$818,"국유지수",용지조서!$J$1:$J$818)</f>
        <v>0</v>
      </c>
      <c r="I11" s="40">
        <f t="shared" si="2"/>
        <v>0</v>
      </c>
      <c r="J11" s="41">
        <f>SUMIF(용지조서!$Q$1:$Q$818,"공유지수",용지조서!$O$1:$O$818)</f>
        <v>0</v>
      </c>
      <c r="K11" s="38">
        <f>SUMIF(용지조서!$R$1:$R$818,"공유지수",용지조서!$I$1:$I$818)</f>
        <v>0</v>
      </c>
      <c r="L11" s="38">
        <f>SUMIF(용지조서!$R$1:$R$818,"공유지수",용지조서!$J$1:$J$818)</f>
        <v>0</v>
      </c>
      <c r="M11" s="40">
        <f t="shared" si="3"/>
        <v>0</v>
      </c>
      <c r="N11" s="34">
        <f>SUMIF(용지조서!$Q$1:$Q$818,"사유지수",용지조서!$O$1:$O$818)</f>
        <v>0</v>
      </c>
      <c r="O11" s="33">
        <f>SUMIF(용지조서!$R$1:$R$818,"사유지수",용지조서!$I$1:$I$818)</f>
        <v>0</v>
      </c>
      <c r="P11" s="33">
        <f>SUMIF(용지조서!$R$1:$R$818,"사유지수",용지조서!$J$1:$J$818)</f>
        <v>0</v>
      </c>
      <c r="Q11" s="38">
        <f t="shared" si="4"/>
        <v>0</v>
      </c>
    </row>
    <row r="12" spans="1:17" ht="26.1" customHeight="1" x14ac:dyDescent="0.15">
      <c r="A12" s="37" t="s">
        <v>15</v>
      </c>
      <c r="B12" s="38">
        <f t="shared" si="1"/>
        <v>1</v>
      </c>
      <c r="C12" s="39">
        <f t="shared" si="0"/>
        <v>282</v>
      </c>
      <c r="D12" s="39">
        <f t="shared" si="0"/>
        <v>54</v>
      </c>
      <c r="E12" s="39">
        <f t="shared" si="0"/>
        <v>228</v>
      </c>
      <c r="F12" s="35">
        <f>SUMIF(용지조서!$Q$1:$Q$818,"국유지전",용지조서!$O$1:$O$818)</f>
        <v>0</v>
      </c>
      <c r="G12" s="33">
        <f>SUMIF(용지조서!$R$1:$R$818,"국유지전",용지조서!$I$1:$I$818)</f>
        <v>0</v>
      </c>
      <c r="H12" s="33">
        <f>SUMIF(용지조서!$R$1:$R$818,"국유지전",용지조서!$J$1:$J$818)</f>
        <v>0</v>
      </c>
      <c r="I12" s="40">
        <f t="shared" si="2"/>
        <v>0</v>
      </c>
      <c r="J12" s="41">
        <f>SUMIF(용지조서!$Q$1:$Q$818,"공유지전",용지조서!$O$1:$O$818)</f>
        <v>1</v>
      </c>
      <c r="K12" s="38">
        <f>SUMIF(용지조서!$R$1:$R$818,"공유지전",용지조서!$I$1:$I$818)</f>
        <v>282</v>
      </c>
      <c r="L12" s="38">
        <f>SUMIF(용지조서!$R$1:$R$818,"공유지전",용지조서!$J$1:$J$818)</f>
        <v>54</v>
      </c>
      <c r="M12" s="40">
        <f t="shared" si="3"/>
        <v>228</v>
      </c>
      <c r="N12" s="34">
        <f>SUMIF(용지조서!$Q$1:$Q$818,"사유지전",용지조서!$O$1:$O$818)</f>
        <v>0</v>
      </c>
      <c r="O12" s="33">
        <f>SUMIF(용지조서!$R$1:$R$818,"사유지전",용지조서!$I$1:$I$818)</f>
        <v>0</v>
      </c>
      <c r="P12" s="33">
        <f>SUMIF(용지조서!$R$1:$R$818,"사유지전",용지조서!$J$1:$J$818)</f>
        <v>0</v>
      </c>
      <c r="Q12" s="38">
        <f t="shared" si="4"/>
        <v>0</v>
      </c>
    </row>
    <row r="13" spans="1:17" ht="26.1" customHeight="1" x14ac:dyDescent="0.15">
      <c r="A13" s="37" t="s">
        <v>16</v>
      </c>
      <c r="B13" s="38">
        <f t="shared" si="1"/>
        <v>0</v>
      </c>
      <c r="C13" s="39">
        <f t="shared" si="0"/>
        <v>0</v>
      </c>
      <c r="D13" s="39">
        <f t="shared" si="0"/>
        <v>0</v>
      </c>
      <c r="E13" s="39">
        <f t="shared" si="0"/>
        <v>0</v>
      </c>
      <c r="F13" s="35">
        <f>SUMIF(용지조서!$Q$1:$Q$818,"국유지잡",용지조서!$O$1:$O$818)</f>
        <v>0</v>
      </c>
      <c r="G13" s="33">
        <f>SUMIF(용지조서!$R$1:$R$818,"국유지잡",용지조서!$I$1:$I$818)</f>
        <v>0</v>
      </c>
      <c r="H13" s="33">
        <f>SUMIF(용지조서!$R$1:$R$818,"국유지잡",용지조서!$J$1:$J$818)</f>
        <v>0</v>
      </c>
      <c r="I13" s="40">
        <f t="shared" si="2"/>
        <v>0</v>
      </c>
      <c r="J13" s="41">
        <f>SUMIF(용지조서!$Q$1:$Q$818,"공유지잡",용지조서!$O$1:$O$818)</f>
        <v>0</v>
      </c>
      <c r="K13" s="38">
        <f>SUMIF(용지조서!$R$1:$R$818,"공유지잡",용지조서!$I$1:$I$818)</f>
        <v>0</v>
      </c>
      <c r="L13" s="38">
        <f>SUMIF(용지조서!$R$1:$R$818,"공유지잡",용지조서!$J$1:$J$818)</f>
        <v>0</v>
      </c>
      <c r="M13" s="40">
        <f t="shared" si="3"/>
        <v>0</v>
      </c>
      <c r="N13" s="34">
        <f>SUMIF(용지조서!$Q$1:$Q$818,"사유지잡",용지조서!$O$1:$O$818)</f>
        <v>0</v>
      </c>
      <c r="O13" s="33">
        <f>SUMIF(용지조서!$R$1:$R$818,"사유지잡",용지조서!$I$1:$I$818)</f>
        <v>0</v>
      </c>
      <c r="P13" s="33">
        <f>SUMIF(용지조서!$R$1:$R$818,"사유지잡",용지조서!$J$1:$J$818)</f>
        <v>0</v>
      </c>
      <c r="Q13" s="38">
        <f t="shared" si="4"/>
        <v>0</v>
      </c>
    </row>
    <row r="14" spans="1:17" ht="26.1" customHeight="1" thickBot="1" x14ac:dyDescent="0.2">
      <c r="A14" s="42" t="s">
        <v>17</v>
      </c>
      <c r="B14" s="43">
        <f t="shared" si="1"/>
        <v>0</v>
      </c>
      <c r="C14" s="44">
        <f t="shared" si="0"/>
        <v>0</v>
      </c>
      <c r="D14" s="44">
        <f t="shared" si="0"/>
        <v>0</v>
      </c>
      <c r="E14" s="45">
        <f t="shared" si="0"/>
        <v>0</v>
      </c>
      <c r="F14" s="46">
        <f>SUMIF(용지조서!$Q$1:$Q$818,"국유지천",용지조서!$O$1:$O$818)</f>
        <v>0</v>
      </c>
      <c r="G14" s="43">
        <f>SUMIF(용지조서!$R$1:$R$818,"국유지천",용지조서!$I$1:$I$818)</f>
        <v>0</v>
      </c>
      <c r="H14" s="43">
        <f>SUMIF(용지조서!$R$1:$R$818,"국유지천",용지조서!$J$1:$J$818)</f>
        <v>0</v>
      </c>
      <c r="I14" s="47">
        <f t="shared" si="2"/>
        <v>0</v>
      </c>
      <c r="J14" s="46">
        <f>SUMIF(용지조서!$Q$1:$Q$818,"공유지천",용지조서!$O$1:$O$818)</f>
        <v>0</v>
      </c>
      <c r="K14" s="43">
        <f>SUMIF(용지조서!$R$1:$R$818,"공유지천",용지조서!$I$1:$I$818)</f>
        <v>0</v>
      </c>
      <c r="L14" s="43">
        <f>SUMIF(용지조서!$R$1:$R$818,"공유지천",용지조서!$J$1:$J$818)</f>
        <v>0</v>
      </c>
      <c r="M14" s="47">
        <f t="shared" si="3"/>
        <v>0</v>
      </c>
      <c r="N14" s="44">
        <f>SUMIF(용지조서!$Q$1:$Q$818,"사유지천",용지조서!$O$1:$O$818)</f>
        <v>0</v>
      </c>
      <c r="O14" s="43">
        <f>SUMIF(용지조서!$R$1:$R$818,"사유지천",용지조서!$I$1:$I$818)</f>
        <v>0</v>
      </c>
      <c r="P14" s="43">
        <f>SUMIF(용지조서!$R$1:$R$818,"사유지천",용지조서!$J$1:$J$818)</f>
        <v>0</v>
      </c>
      <c r="Q14" s="43">
        <f t="shared" si="4"/>
        <v>0</v>
      </c>
    </row>
    <row r="15" spans="1:17" ht="26.1" customHeight="1" thickTop="1" x14ac:dyDescent="0.15">
      <c r="A15" s="48" t="s">
        <v>18</v>
      </c>
      <c r="B15" s="21">
        <f t="shared" ref="B15:Q15" si="5">SUM(B4:B14)</f>
        <v>40</v>
      </c>
      <c r="C15" s="21">
        <f t="shared" si="5"/>
        <v>7529</v>
      </c>
      <c r="D15" s="21">
        <f t="shared" si="5"/>
        <v>5416</v>
      </c>
      <c r="E15" s="22">
        <f t="shared" si="5"/>
        <v>2113</v>
      </c>
      <c r="F15" s="23">
        <f t="shared" si="5"/>
        <v>18</v>
      </c>
      <c r="G15" s="21">
        <f t="shared" si="5"/>
        <v>2319</v>
      </c>
      <c r="H15" s="21">
        <f t="shared" si="5"/>
        <v>1680</v>
      </c>
      <c r="I15" s="22">
        <f t="shared" si="5"/>
        <v>639</v>
      </c>
      <c r="J15" s="23">
        <f t="shared" si="5"/>
        <v>22</v>
      </c>
      <c r="K15" s="21">
        <f t="shared" si="5"/>
        <v>5210</v>
      </c>
      <c r="L15" s="21">
        <f t="shared" si="5"/>
        <v>3736</v>
      </c>
      <c r="M15" s="22">
        <f t="shared" si="5"/>
        <v>1474</v>
      </c>
      <c r="N15" s="20">
        <f>SUM(N4:N14)</f>
        <v>0</v>
      </c>
      <c r="O15" s="21">
        <f t="shared" si="5"/>
        <v>0</v>
      </c>
      <c r="P15" s="21">
        <f>SUM(P4:P14)</f>
        <v>0</v>
      </c>
      <c r="Q15" s="21">
        <f t="shared" si="5"/>
        <v>0</v>
      </c>
    </row>
    <row r="17" spans="4:12" ht="28.5" customHeight="1" x14ac:dyDescent="0.15">
      <c r="D17" s="2"/>
      <c r="E17" s="2"/>
      <c r="F17" s="3"/>
      <c r="G17" s="4"/>
      <c r="H17" s="4"/>
      <c r="J17" s="2"/>
    </row>
    <row r="18" spans="4:12" ht="28.5" customHeight="1" x14ac:dyDescent="0.15">
      <c r="E18" s="82"/>
      <c r="F18" s="83"/>
      <c r="H18" s="84"/>
      <c r="I18" s="83"/>
    </row>
    <row r="19" spans="4:12" ht="28.5" customHeight="1" x14ac:dyDescent="0.15">
      <c r="K19" s="4"/>
      <c r="L19" s="4"/>
    </row>
  </sheetData>
  <mergeCells count="8">
    <mergeCell ref="E18:F18"/>
    <mergeCell ref="H18:I18"/>
    <mergeCell ref="A1:Q1"/>
    <mergeCell ref="A2:A3"/>
    <mergeCell ref="B2:E2"/>
    <mergeCell ref="F2:I2"/>
    <mergeCell ref="J2:M2"/>
    <mergeCell ref="N2:Q2"/>
  </mergeCells>
  <phoneticPr fontId="2" type="noConversion"/>
  <printOptions horizontalCentered="1"/>
  <pageMargins left="0.51181102362204722" right="0.59055118110236227" top="0.78740157480314965" bottom="0.78740157480314965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1"/>
  </sheetPr>
  <dimension ref="A1:U66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L7" sqref="L7"/>
    </sheetView>
  </sheetViews>
  <sheetFormatPr defaultColWidth="3.21875" defaultRowHeight="21" customHeight="1" x14ac:dyDescent="0.15"/>
  <cols>
    <col min="1" max="1" width="3.88671875" style="16" customWidth="1"/>
    <col min="2" max="4" width="4.77734375" style="7" customWidth="1"/>
    <col min="5" max="5" width="7.33203125" style="7" bestFit="1" customWidth="1"/>
    <col min="6" max="7" width="8.77734375" style="25" customWidth="1"/>
    <col min="8" max="8" width="5.77734375" style="25" customWidth="1"/>
    <col min="9" max="9" width="10.44140625" style="14" customWidth="1"/>
    <col min="10" max="11" width="10.44140625" style="17" customWidth="1"/>
    <col min="12" max="12" width="12.77734375" style="25" customWidth="1"/>
    <col min="13" max="13" width="25.77734375" style="16" customWidth="1"/>
    <col min="14" max="14" width="7.6640625" style="16" customWidth="1"/>
    <col min="15" max="15" width="6.33203125" style="5" bestFit="1" customWidth="1"/>
    <col min="16" max="16" width="7.109375" style="5" bestFit="1" customWidth="1"/>
    <col min="17" max="17" width="6.33203125" style="5" bestFit="1" customWidth="1"/>
    <col min="18" max="18" width="11.109375" style="5" customWidth="1"/>
    <col min="19" max="19" width="14.44140625" style="15" bestFit="1" customWidth="1"/>
    <col min="20" max="20" width="10" style="16" customWidth="1"/>
    <col min="21" max="254" width="8.88671875" style="5" customWidth="1"/>
    <col min="255" max="255" width="3.88671875" style="5" customWidth="1"/>
    <col min="256" max="16384" width="3.21875" style="5"/>
  </cols>
  <sheetData>
    <row r="1" spans="1:21" ht="39.950000000000003" customHeight="1" x14ac:dyDescent="0.15">
      <c r="A1" s="93" t="s">
        <v>37</v>
      </c>
      <c r="B1" s="94"/>
      <c r="C1" s="94"/>
      <c r="D1" s="94"/>
      <c r="E1" s="94"/>
      <c r="F1" s="94"/>
      <c r="G1" s="94"/>
      <c r="H1" s="94"/>
      <c r="I1" s="94"/>
      <c r="J1" s="65"/>
      <c r="K1" s="65"/>
      <c r="L1" s="65"/>
      <c r="M1" s="65"/>
      <c r="N1" s="66"/>
      <c r="S1" s="25"/>
    </row>
    <row r="2" spans="1:21" ht="19.5" customHeight="1" x14ac:dyDescent="0.15">
      <c r="A2" s="63" t="s">
        <v>19</v>
      </c>
      <c r="B2" s="63" t="s">
        <v>20</v>
      </c>
      <c r="C2" s="63"/>
      <c r="D2" s="63"/>
      <c r="E2" s="63"/>
      <c r="F2" s="91" t="s">
        <v>98</v>
      </c>
      <c r="G2" s="92"/>
      <c r="H2" s="63" t="s">
        <v>21</v>
      </c>
      <c r="I2" s="26" t="s">
        <v>22</v>
      </c>
      <c r="J2" s="27" t="s">
        <v>35</v>
      </c>
      <c r="K2" s="27" t="s">
        <v>36</v>
      </c>
      <c r="L2" s="63" t="s">
        <v>23</v>
      </c>
      <c r="M2" s="63"/>
      <c r="N2" s="67" t="s">
        <v>24</v>
      </c>
      <c r="O2" s="7"/>
      <c r="P2" s="7"/>
      <c r="Q2" s="7"/>
      <c r="S2" s="25"/>
    </row>
    <row r="3" spans="1:21" ht="19.5" customHeight="1" x14ac:dyDescent="0.15">
      <c r="A3" s="63"/>
      <c r="B3" s="63" t="s">
        <v>25</v>
      </c>
      <c r="C3" s="63" t="s">
        <v>26</v>
      </c>
      <c r="D3" s="63" t="s">
        <v>40</v>
      </c>
      <c r="E3" s="63" t="s">
        <v>39</v>
      </c>
      <c r="F3" s="63" t="s">
        <v>99</v>
      </c>
      <c r="G3" s="63" t="s">
        <v>100</v>
      </c>
      <c r="H3" s="63"/>
      <c r="I3" s="26" t="s">
        <v>27</v>
      </c>
      <c r="J3" s="27" t="s">
        <v>27</v>
      </c>
      <c r="K3" s="27" t="s">
        <v>27</v>
      </c>
      <c r="L3" s="63" t="s">
        <v>28</v>
      </c>
      <c r="M3" s="63" t="s">
        <v>29</v>
      </c>
      <c r="N3" s="63"/>
      <c r="O3" s="7"/>
      <c r="P3" s="7"/>
      <c r="Q3" s="8"/>
      <c r="R3" s="25"/>
      <c r="S3" s="25"/>
      <c r="T3" s="25"/>
      <c r="U3" s="25"/>
    </row>
    <row r="4" spans="1:21" s="81" customFormat="1" ht="19.5" customHeight="1" x14ac:dyDescent="0.15">
      <c r="A4" s="56">
        <v>1</v>
      </c>
      <c r="B4" s="56" t="s">
        <v>30</v>
      </c>
      <c r="C4" s="56" t="s">
        <v>42</v>
      </c>
      <c r="D4" s="56" t="s">
        <v>101</v>
      </c>
      <c r="E4" s="56" t="s">
        <v>102</v>
      </c>
      <c r="F4" s="74" t="s">
        <v>103</v>
      </c>
      <c r="G4" s="74" t="s">
        <v>107</v>
      </c>
      <c r="H4" s="74" t="s">
        <v>108</v>
      </c>
      <c r="I4" s="75">
        <v>2034.2</v>
      </c>
      <c r="J4" s="75">
        <v>183.2</v>
      </c>
      <c r="K4" s="76">
        <f>I4-J4</f>
        <v>1851</v>
      </c>
      <c r="L4" s="74" t="s">
        <v>110</v>
      </c>
      <c r="M4" s="74" t="s">
        <v>104</v>
      </c>
      <c r="N4" s="74"/>
      <c r="O4" s="77"/>
      <c r="P4" s="78"/>
      <c r="Q4" s="77"/>
      <c r="R4" s="77"/>
      <c r="S4" s="79"/>
      <c r="T4" s="80"/>
    </row>
    <row r="5" spans="1:21" s="6" customFormat="1" ht="19.5" hidden="1" customHeight="1" x14ac:dyDescent="0.15">
      <c r="A5" s="63">
        <v>2</v>
      </c>
      <c r="B5" s="63" t="s">
        <v>30</v>
      </c>
      <c r="C5" s="63" t="s">
        <v>42</v>
      </c>
      <c r="D5" s="63" t="s">
        <v>45</v>
      </c>
      <c r="E5" s="56" t="s">
        <v>46</v>
      </c>
      <c r="F5" s="59" t="s">
        <v>47</v>
      </c>
      <c r="G5" s="59"/>
      <c r="H5" s="59" t="s">
        <v>41</v>
      </c>
      <c r="I5" s="60">
        <v>676</v>
      </c>
      <c r="J5" s="60">
        <v>43</v>
      </c>
      <c r="K5" s="57">
        <f t="shared" ref="K5:K50" si="0">I5-J5</f>
        <v>633</v>
      </c>
      <c r="L5" s="59" t="s">
        <v>54</v>
      </c>
      <c r="M5" s="59"/>
      <c r="N5" s="67"/>
      <c r="O5" s="8">
        <v>1</v>
      </c>
      <c r="P5" s="58" t="str">
        <f t="shared" ref="P5:P50" si="1">IF(L5="전라북도","공유지",IF(LEFT(L5,2)="국(","국유지",IF(L5="임실군","공유지","사유지")))</f>
        <v>공유지</v>
      </c>
      <c r="Q5" s="8" t="str">
        <f t="shared" ref="Q5:Q12" si="2">P5&amp;H5</f>
        <v>공유지임</v>
      </c>
      <c r="R5" s="8" t="str">
        <f t="shared" ref="R5:R12" si="3">P5&amp;H5</f>
        <v>공유지임</v>
      </c>
      <c r="S5" s="19" t="str">
        <f t="shared" ref="S5:S12" si="4">E5&amp;" "&amp;F5&amp;H5</f>
        <v>마암 504-38임</v>
      </c>
      <c r="T5" s="18">
        <f>COUNTIF($S$4:$S$491,S5)</f>
        <v>1</v>
      </c>
    </row>
    <row r="6" spans="1:21" s="6" customFormat="1" ht="19.5" hidden="1" customHeight="1" x14ac:dyDescent="0.15">
      <c r="A6" s="63">
        <v>3</v>
      </c>
      <c r="B6" s="63" t="s">
        <v>30</v>
      </c>
      <c r="C6" s="63" t="s">
        <v>42</v>
      </c>
      <c r="D6" s="63" t="s">
        <v>45</v>
      </c>
      <c r="E6" s="56" t="s">
        <v>46</v>
      </c>
      <c r="F6" s="59" t="s">
        <v>48</v>
      </c>
      <c r="G6" s="59"/>
      <c r="H6" s="59" t="s">
        <v>41</v>
      </c>
      <c r="I6" s="60">
        <v>106</v>
      </c>
      <c r="J6" s="60">
        <v>54</v>
      </c>
      <c r="K6" s="57">
        <f t="shared" si="0"/>
        <v>52</v>
      </c>
      <c r="L6" s="59" t="s">
        <v>54</v>
      </c>
      <c r="M6" s="59"/>
      <c r="N6" s="67"/>
      <c r="O6" s="8">
        <v>1</v>
      </c>
      <c r="P6" s="58" t="str">
        <f t="shared" si="1"/>
        <v>공유지</v>
      </c>
      <c r="Q6" s="8" t="str">
        <f t="shared" si="2"/>
        <v>공유지임</v>
      </c>
      <c r="R6" s="8" t="str">
        <f t="shared" si="3"/>
        <v>공유지임</v>
      </c>
      <c r="S6" s="19" t="str">
        <f t="shared" si="4"/>
        <v>마암 504-47임</v>
      </c>
      <c r="T6" s="18">
        <f>COUNTIF($S$4:$S$491,S6)</f>
        <v>1</v>
      </c>
    </row>
    <row r="7" spans="1:21" s="73" customFormat="1" ht="19.5" customHeight="1" x14ac:dyDescent="0.15">
      <c r="A7" s="56">
        <v>2</v>
      </c>
      <c r="B7" s="56" t="s">
        <v>30</v>
      </c>
      <c r="C7" s="56" t="s">
        <v>42</v>
      </c>
      <c r="D7" s="56" t="s">
        <v>101</v>
      </c>
      <c r="E7" s="56" t="s">
        <v>102</v>
      </c>
      <c r="F7" s="74" t="s">
        <v>105</v>
      </c>
      <c r="G7" s="74" t="s">
        <v>109</v>
      </c>
      <c r="H7" s="74" t="s">
        <v>108</v>
      </c>
      <c r="I7" s="75">
        <v>1109</v>
      </c>
      <c r="J7" s="75">
        <v>158</v>
      </c>
      <c r="K7" s="76">
        <f t="shared" si="0"/>
        <v>951</v>
      </c>
      <c r="L7" s="74" t="s">
        <v>110</v>
      </c>
      <c r="M7" s="74" t="s">
        <v>104</v>
      </c>
      <c r="N7" s="68"/>
      <c r="O7" s="70"/>
      <c r="P7" s="69"/>
      <c r="Q7" s="70"/>
      <c r="R7" s="70"/>
      <c r="S7" s="71"/>
      <c r="T7" s="72"/>
    </row>
    <row r="8" spans="1:21" s="6" customFormat="1" ht="19.5" hidden="1" customHeight="1" x14ac:dyDescent="0.15">
      <c r="A8" s="63">
        <v>6</v>
      </c>
      <c r="B8" s="63" t="s">
        <v>30</v>
      </c>
      <c r="C8" s="63" t="s">
        <v>42</v>
      </c>
      <c r="D8" s="63" t="s">
        <v>45</v>
      </c>
      <c r="E8" s="56" t="s">
        <v>46</v>
      </c>
      <c r="F8" s="59" t="s">
        <v>49</v>
      </c>
      <c r="G8" s="59"/>
      <c r="H8" s="59" t="s">
        <v>55</v>
      </c>
      <c r="I8" s="60">
        <v>282</v>
      </c>
      <c r="J8" s="60">
        <v>54</v>
      </c>
      <c r="K8" s="57">
        <f t="shared" si="0"/>
        <v>228</v>
      </c>
      <c r="L8" s="59" t="s">
        <v>54</v>
      </c>
      <c r="M8" s="59"/>
      <c r="N8" s="67"/>
      <c r="O8" s="8">
        <v>1</v>
      </c>
      <c r="P8" s="58" t="str">
        <f t="shared" si="1"/>
        <v>공유지</v>
      </c>
      <c r="Q8" s="8" t="str">
        <f t="shared" si="2"/>
        <v>공유지전</v>
      </c>
      <c r="R8" s="8" t="str">
        <f t="shared" si="3"/>
        <v>공유지전</v>
      </c>
      <c r="S8" s="19" t="str">
        <f t="shared" si="4"/>
        <v>마암 504-55전</v>
      </c>
      <c r="T8" s="18">
        <f t="shared" ref="T8:T50" si="5">COUNTIF($S$4:$S$491,S8)</f>
        <v>1</v>
      </c>
    </row>
    <row r="9" spans="1:21" s="6" customFormat="1" ht="19.5" hidden="1" customHeight="1" x14ac:dyDescent="0.15">
      <c r="A9" s="63">
        <v>7</v>
      </c>
      <c r="B9" s="63" t="s">
        <v>30</v>
      </c>
      <c r="C9" s="63" t="s">
        <v>42</v>
      </c>
      <c r="D9" s="63" t="s">
        <v>45</v>
      </c>
      <c r="E9" s="56" t="s">
        <v>46</v>
      </c>
      <c r="F9" s="59" t="s">
        <v>50</v>
      </c>
      <c r="G9" s="59"/>
      <c r="H9" s="59" t="s">
        <v>41</v>
      </c>
      <c r="I9" s="60">
        <v>56</v>
      </c>
      <c r="J9" s="60">
        <v>1</v>
      </c>
      <c r="K9" s="57">
        <f t="shared" si="0"/>
        <v>55</v>
      </c>
      <c r="L9" s="59" t="s">
        <v>54</v>
      </c>
      <c r="M9" s="59"/>
      <c r="N9" s="67"/>
      <c r="O9" s="8">
        <v>1</v>
      </c>
      <c r="P9" s="58" t="str">
        <f t="shared" si="1"/>
        <v>공유지</v>
      </c>
      <c r="Q9" s="8" t="str">
        <f t="shared" si="2"/>
        <v>공유지임</v>
      </c>
      <c r="R9" s="8" t="str">
        <f t="shared" si="3"/>
        <v>공유지임</v>
      </c>
      <c r="S9" s="19" t="str">
        <f t="shared" si="4"/>
        <v>마암 504-56임</v>
      </c>
      <c r="T9" s="18">
        <f t="shared" si="5"/>
        <v>1</v>
      </c>
    </row>
    <row r="10" spans="1:21" s="6" customFormat="1" ht="19.5" hidden="1" customHeight="1" x14ac:dyDescent="0.15">
      <c r="A10" s="63">
        <v>8</v>
      </c>
      <c r="B10" s="63" t="s">
        <v>30</v>
      </c>
      <c r="C10" s="63" t="s">
        <v>42</v>
      </c>
      <c r="D10" s="63" t="s">
        <v>45</v>
      </c>
      <c r="E10" s="56" t="s">
        <v>46</v>
      </c>
      <c r="F10" s="59" t="s">
        <v>51</v>
      </c>
      <c r="G10" s="59"/>
      <c r="H10" s="59" t="s">
        <v>41</v>
      </c>
      <c r="I10" s="60">
        <v>20</v>
      </c>
      <c r="J10" s="60">
        <v>17</v>
      </c>
      <c r="K10" s="57">
        <f t="shared" si="0"/>
        <v>3</v>
      </c>
      <c r="L10" s="59" t="s">
        <v>54</v>
      </c>
      <c r="M10" s="59"/>
      <c r="N10" s="67"/>
      <c r="O10" s="8">
        <v>1</v>
      </c>
      <c r="P10" s="58" t="str">
        <f t="shared" si="1"/>
        <v>공유지</v>
      </c>
      <c r="Q10" s="8" t="str">
        <f t="shared" si="2"/>
        <v>공유지임</v>
      </c>
      <c r="R10" s="8" t="str">
        <f t="shared" si="3"/>
        <v>공유지임</v>
      </c>
      <c r="S10" s="19" t="str">
        <f t="shared" si="4"/>
        <v>마암 504-57임</v>
      </c>
      <c r="T10" s="18">
        <f t="shared" si="5"/>
        <v>1</v>
      </c>
    </row>
    <row r="11" spans="1:21" s="6" customFormat="1" ht="19.5" hidden="1" customHeight="1" x14ac:dyDescent="0.15">
      <c r="A11" s="63">
        <v>9</v>
      </c>
      <c r="B11" s="63" t="s">
        <v>30</v>
      </c>
      <c r="C11" s="63" t="s">
        <v>42</v>
      </c>
      <c r="D11" s="63" t="s">
        <v>45</v>
      </c>
      <c r="E11" s="56" t="s">
        <v>46</v>
      </c>
      <c r="F11" s="59" t="s">
        <v>52</v>
      </c>
      <c r="G11" s="59"/>
      <c r="H11" s="59" t="s">
        <v>41</v>
      </c>
      <c r="I11" s="60">
        <v>226</v>
      </c>
      <c r="J11" s="60">
        <v>116</v>
      </c>
      <c r="K11" s="57">
        <f t="shared" si="0"/>
        <v>110</v>
      </c>
      <c r="L11" s="59" t="s">
        <v>54</v>
      </c>
      <c r="M11" s="59"/>
      <c r="N11" s="67"/>
      <c r="O11" s="8">
        <v>1</v>
      </c>
      <c r="P11" s="58" t="str">
        <f t="shared" si="1"/>
        <v>공유지</v>
      </c>
      <c r="Q11" s="8" t="str">
        <f t="shared" si="2"/>
        <v>공유지임</v>
      </c>
      <c r="R11" s="8" t="str">
        <f t="shared" si="3"/>
        <v>공유지임</v>
      </c>
      <c r="S11" s="19" t="str">
        <f t="shared" si="4"/>
        <v>마암 504-58임</v>
      </c>
      <c r="T11" s="18">
        <f t="shared" si="5"/>
        <v>1</v>
      </c>
    </row>
    <row r="12" spans="1:21" s="6" customFormat="1" ht="19.5" hidden="1" customHeight="1" x14ac:dyDescent="0.15">
      <c r="A12" s="63">
        <v>10</v>
      </c>
      <c r="B12" s="63" t="s">
        <v>30</v>
      </c>
      <c r="C12" s="63" t="s">
        <v>42</v>
      </c>
      <c r="D12" s="63" t="s">
        <v>45</v>
      </c>
      <c r="E12" s="56" t="s">
        <v>46</v>
      </c>
      <c r="F12" s="59" t="s">
        <v>53</v>
      </c>
      <c r="G12" s="59"/>
      <c r="H12" s="59" t="s">
        <v>41</v>
      </c>
      <c r="I12" s="61">
        <v>1425</v>
      </c>
      <c r="J12" s="61">
        <v>1425</v>
      </c>
      <c r="K12" s="57">
        <f t="shared" si="0"/>
        <v>0</v>
      </c>
      <c r="L12" s="59" t="s">
        <v>54</v>
      </c>
      <c r="M12" s="59"/>
      <c r="N12" s="67"/>
      <c r="O12" s="8">
        <v>1</v>
      </c>
      <c r="P12" s="58" t="str">
        <f t="shared" si="1"/>
        <v>공유지</v>
      </c>
      <c r="Q12" s="8" t="str">
        <f t="shared" si="2"/>
        <v>공유지임</v>
      </c>
      <c r="R12" s="8" t="str">
        <f t="shared" si="3"/>
        <v>공유지임</v>
      </c>
      <c r="S12" s="19" t="str">
        <f t="shared" si="4"/>
        <v>마암 504-70임</v>
      </c>
      <c r="T12" s="18">
        <f t="shared" si="5"/>
        <v>1</v>
      </c>
    </row>
    <row r="13" spans="1:21" s="6" customFormat="1" ht="19.5" hidden="1" customHeight="1" x14ac:dyDescent="0.15">
      <c r="A13" s="63">
        <v>13</v>
      </c>
      <c r="B13" s="63" t="s">
        <v>30</v>
      </c>
      <c r="C13" s="63" t="s">
        <v>42</v>
      </c>
      <c r="D13" s="63" t="s">
        <v>45</v>
      </c>
      <c r="E13" s="56" t="s">
        <v>46</v>
      </c>
      <c r="F13" s="59" t="s">
        <v>56</v>
      </c>
      <c r="G13" s="59"/>
      <c r="H13" s="59" t="s">
        <v>43</v>
      </c>
      <c r="I13" s="60">
        <v>52</v>
      </c>
      <c r="J13" s="60">
        <v>52</v>
      </c>
      <c r="K13" s="57">
        <f t="shared" si="0"/>
        <v>0</v>
      </c>
      <c r="L13" s="59" t="s">
        <v>65</v>
      </c>
      <c r="M13" s="59"/>
      <c r="N13" s="67"/>
      <c r="O13" s="8">
        <v>1</v>
      </c>
      <c r="P13" s="58" t="str">
        <f t="shared" si="1"/>
        <v>국유지</v>
      </c>
      <c r="Q13" s="8" t="str">
        <f t="shared" ref="Q13:Q50" si="6">P13&amp;H13</f>
        <v>국유지도</v>
      </c>
      <c r="R13" s="8" t="str">
        <f t="shared" ref="R13:R50" si="7">P13&amp;H13</f>
        <v>국유지도</v>
      </c>
      <c r="S13" s="19" t="str">
        <f t="shared" ref="S13:S50" si="8">E13&amp;" "&amp;F13&amp;H13</f>
        <v>마암 516-3도</v>
      </c>
      <c r="T13" s="18">
        <f t="shared" si="5"/>
        <v>1</v>
      </c>
    </row>
    <row r="14" spans="1:21" s="6" customFormat="1" ht="19.5" hidden="1" customHeight="1" x14ac:dyDescent="0.15">
      <c r="A14" s="63">
        <v>14</v>
      </c>
      <c r="B14" s="63" t="s">
        <v>30</v>
      </c>
      <c r="C14" s="63" t="s">
        <v>42</v>
      </c>
      <c r="D14" s="63" t="s">
        <v>45</v>
      </c>
      <c r="E14" s="56" t="s">
        <v>46</v>
      </c>
      <c r="F14" s="59" t="s">
        <v>57</v>
      </c>
      <c r="G14" s="59"/>
      <c r="H14" s="59" t="s">
        <v>41</v>
      </c>
      <c r="I14" s="60">
        <v>22</v>
      </c>
      <c r="J14" s="60">
        <v>22</v>
      </c>
      <c r="K14" s="57">
        <f t="shared" si="0"/>
        <v>0</v>
      </c>
      <c r="L14" s="59" t="s">
        <v>54</v>
      </c>
      <c r="M14" s="59"/>
      <c r="N14" s="67"/>
      <c r="O14" s="8">
        <v>1</v>
      </c>
      <c r="P14" s="58" t="str">
        <f t="shared" si="1"/>
        <v>공유지</v>
      </c>
      <c r="Q14" s="8" t="str">
        <f t="shared" si="6"/>
        <v>공유지임</v>
      </c>
      <c r="R14" s="8" t="str">
        <f t="shared" si="7"/>
        <v>공유지임</v>
      </c>
      <c r="S14" s="19" t="str">
        <f t="shared" si="8"/>
        <v>마암 산146임</v>
      </c>
      <c r="T14" s="18">
        <f t="shared" si="5"/>
        <v>1</v>
      </c>
    </row>
    <row r="15" spans="1:21" s="6" customFormat="1" ht="19.5" hidden="1" customHeight="1" x14ac:dyDescent="0.15">
      <c r="A15" s="63">
        <v>15</v>
      </c>
      <c r="B15" s="63" t="s">
        <v>30</v>
      </c>
      <c r="C15" s="63" t="s">
        <v>42</v>
      </c>
      <c r="D15" s="63" t="s">
        <v>45</v>
      </c>
      <c r="E15" s="56" t="s">
        <v>46</v>
      </c>
      <c r="F15" s="59" t="s">
        <v>58</v>
      </c>
      <c r="G15" s="59"/>
      <c r="H15" s="59" t="s">
        <v>43</v>
      </c>
      <c r="I15" s="60">
        <v>208</v>
      </c>
      <c r="J15" s="60">
        <v>100</v>
      </c>
      <c r="K15" s="57">
        <f t="shared" si="0"/>
        <v>108</v>
      </c>
      <c r="L15" s="59" t="s">
        <v>65</v>
      </c>
      <c r="M15" s="59"/>
      <c r="N15" s="67"/>
      <c r="O15" s="8">
        <v>1</v>
      </c>
      <c r="P15" s="58" t="str">
        <f t="shared" si="1"/>
        <v>국유지</v>
      </c>
      <c r="Q15" s="8" t="str">
        <f t="shared" si="6"/>
        <v>국유지도</v>
      </c>
      <c r="R15" s="8" t="str">
        <f t="shared" si="7"/>
        <v>국유지도</v>
      </c>
      <c r="S15" s="19" t="str">
        <f t="shared" si="8"/>
        <v>마암 산146-1도</v>
      </c>
      <c r="T15" s="18">
        <f t="shared" si="5"/>
        <v>1</v>
      </c>
    </row>
    <row r="16" spans="1:21" s="6" customFormat="1" ht="19.5" hidden="1" customHeight="1" x14ac:dyDescent="0.15">
      <c r="A16" s="63">
        <v>16</v>
      </c>
      <c r="B16" s="63" t="s">
        <v>30</v>
      </c>
      <c r="C16" s="63" t="s">
        <v>42</v>
      </c>
      <c r="D16" s="63" t="s">
        <v>45</v>
      </c>
      <c r="E16" s="56" t="s">
        <v>46</v>
      </c>
      <c r="F16" s="59" t="s">
        <v>59</v>
      </c>
      <c r="G16" s="59"/>
      <c r="H16" s="59" t="s">
        <v>60</v>
      </c>
      <c r="I16" s="60">
        <v>90</v>
      </c>
      <c r="J16" s="60">
        <v>58</v>
      </c>
      <c r="K16" s="57">
        <f t="shared" si="0"/>
        <v>32</v>
      </c>
      <c r="L16" s="59" t="s">
        <v>65</v>
      </c>
      <c r="M16" s="59"/>
      <c r="N16" s="67"/>
      <c r="O16" s="8">
        <v>1</v>
      </c>
      <c r="P16" s="58" t="str">
        <f t="shared" si="1"/>
        <v>국유지</v>
      </c>
      <c r="Q16" s="8" t="str">
        <f t="shared" si="6"/>
        <v>국유지유</v>
      </c>
      <c r="R16" s="8" t="str">
        <f t="shared" si="7"/>
        <v>국유지유</v>
      </c>
      <c r="S16" s="19" t="str">
        <f t="shared" si="8"/>
        <v>마암 산146-12유</v>
      </c>
      <c r="T16" s="18">
        <f t="shared" si="5"/>
        <v>1</v>
      </c>
    </row>
    <row r="17" spans="1:20" s="6" customFormat="1" ht="19.5" hidden="1" customHeight="1" x14ac:dyDescent="0.15">
      <c r="A17" s="63">
        <v>17</v>
      </c>
      <c r="B17" s="63" t="s">
        <v>30</v>
      </c>
      <c r="C17" s="63" t="s">
        <v>42</v>
      </c>
      <c r="D17" s="63" t="s">
        <v>45</v>
      </c>
      <c r="E17" s="56" t="s">
        <v>46</v>
      </c>
      <c r="F17" s="59" t="s">
        <v>61</v>
      </c>
      <c r="G17" s="59"/>
      <c r="H17" s="59" t="s">
        <v>60</v>
      </c>
      <c r="I17" s="60">
        <v>54</v>
      </c>
      <c r="J17" s="60">
        <v>54</v>
      </c>
      <c r="K17" s="57">
        <f t="shared" si="0"/>
        <v>0</v>
      </c>
      <c r="L17" s="59" t="s">
        <v>65</v>
      </c>
      <c r="M17" s="59"/>
      <c r="N17" s="67"/>
      <c r="O17" s="8">
        <v>1</v>
      </c>
      <c r="P17" s="58" t="str">
        <f t="shared" si="1"/>
        <v>국유지</v>
      </c>
      <c r="Q17" s="8" t="str">
        <f t="shared" si="6"/>
        <v>국유지유</v>
      </c>
      <c r="R17" s="8" t="str">
        <f t="shared" si="7"/>
        <v>국유지유</v>
      </c>
      <c r="S17" s="19" t="str">
        <f t="shared" si="8"/>
        <v>마암 산146-13유</v>
      </c>
      <c r="T17" s="18">
        <f t="shared" si="5"/>
        <v>1</v>
      </c>
    </row>
    <row r="18" spans="1:20" s="6" customFormat="1" ht="19.5" hidden="1" customHeight="1" x14ac:dyDescent="0.15">
      <c r="A18" s="63">
        <v>18</v>
      </c>
      <c r="B18" s="63" t="s">
        <v>30</v>
      </c>
      <c r="C18" s="63" t="s">
        <v>42</v>
      </c>
      <c r="D18" s="63" t="s">
        <v>45</v>
      </c>
      <c r="E18" s="56" t="s">
        <v>46</v>
      </c>
      <c r="F18" s="59" t="s">
        <v>62</v>
      </c>
      <c r="G18" s="59"/>
      <c r="H18" s="59" t="s">
        <v>41</v>
      </c>
      <c r="I18" s="60">
        <v>62</v>
      </c>
      <c r="J18" s="60">
        <v>62</v>
      </c>
      <c r="K18" s="57">
        <f t="shared" si="0"/>
        <v>0</v>
      </c>
      <c r="L18" s="59" t="s">
        <v>44</v>
      </c>
      <c r="M18" s="59"/>
      <c r="N18" s="67"/>
      <c r="O18" s="8">
        <v>1</v>
      </c>
      <c r="P18" s="58" t="str">
        <f t="shared" si="1"/>
        <v>공유지</v>
      </c>
      <c r="Q18" s="8" t="str">
        <f t="shared" si="6"/>
        <v>공유지임</v>
      </c>
      <c r="R18" s="8" t="str">
        <f t="shared" si="7"/>
        <v>공유지임</v>
      </c>
      <c r="S18" s="19" t="str">
        <f t="shared" si="8"/>
        <v>마암 산146-2임</v>
      </c>
      <c r="T18" s="18">
        <f t="shared" si="5"/>
        <v>1</v>
      </c>
    </row>
    <row r="19" spans="1:20" s="6" customFormat="1" ht="19.5" hidden="1" customHeight="1" x14ac:dyDescent="0.15">
      <c r="A19" s="63">
        <v>19</v>
      </c>
      <c r="B19" s="63" t="s">
        <v>30</v>
      </c>
      <c r="C19" s="63" t="s">
        <v>42</v>
      </c>
      <c r="D19" s="63" t="s">
        <v>45</v>
      </c>
      <c r="E19" s="56" t="s">
        <v>46</v>
      </c>
      <c r="F19" s="59" t="s">
        <v>63</v>
      </c>
      <c r="G19" s="59"/>
      <c r="H19" s="59" t="s">
        <v>60</v>
      </c>
      <c r="I19" s="60">
        <v>442</v>
      </c>
      <c r="J19" s="60">
        <v>442</v>
      </c>
      <c r="K19" s="57">
        <f t="shared" si="0"/>
        <v>0</v>
      </c>
      <c r="L19" s="59" t="s">
        <v>65</v>
      </c>
      <c r="M19" s="59"/>
      <c r="N19" s="67"/>
      <c r="O19" s="8">
        <v>1</v>
      </c>
      <c r="P19" s="58" t="str">
        <f t="shared" si="1"/>
        <v>국유지</v>
      </c>
      <c r="Q19" s="8" t="str">
        <f t="shared" si="6"/>
        <v>국유지유</v>
      </c>
      <c r="R19" s="8" t="str">
        <f t="shared" si="7"/>
        <v>국유지유</v>
      </c>
      <c r="S19" s="19" t="str">
        <f t="shared" si="8"/>
        <v>마암 산146-3유</v>
      </c>
      <c r="T19" s="18">
        <f t="shared" si="5"/>
        <v>1</v>
      </c>
    </row>
    <row r="20" spans="1:20" s="6" customFormat="1" ht="19.5" hidden="1" customHeight="1" x14ac:dyDescent="0.15">
      <c r="A20" s="63">
        <v>20</v>
      </c>
      <c r="B20" s="63" t="s">
        <v>30</v>
      </c>
      <c r="C20" s="63" t="s">
        <v>42</v>
      </c>
      <c r="D20" s="63" t="s">
        <v>45</v>
      </c>
      <c r="E20" s="56" t="s">
        <v>46</v>
      </c>
      <c r="F20" s="59" t="s">
        <v>64</v>
      </c>
      <c r="G20" s="59"/>
      <c r="H20" s="59" t="s">
        <v>43</v>
      </c>
      <c r="I20" s="60">
        <v>70</v>
      </c>
      <c r="J20" s="60">
        <v>70</v>
      </c>
      <c r="K20" s="57">
        <f t="shared" si="0"/>
        <v>0</v>
      </c>
      <c r="L20" s="59" t="s">
        <v>44</v>
      </c>
      <c r="M20" s="59"/>
      <c r="N20" s="67"/>
      <c r="O20" s="8">
        <v>1</v>
      </c>
      <c r="P20" s="58" t="str">
        <f t="shared" si="1"/>
        <v>공유지</v>
      </c>
      <c r="Q20" s="8" t="str">
        <f t="shared" si="6"/>
        <v>공유지도</v>
      </c>
      <c r="R20" s="8" t="str">
        <f t="shared" si="7"/>
        <v>공유지도</v>
      </c>
      <c r="S20" s="19" t="str">
        <f t="shared" si="8"/>
        <v>마암 산146-5도</v>
      </c>
      <c r="T20" s="18">
        <f t="shared" si="5"/>
        <v>1</v>
      </c>
    </row>
    <row r="21" spans="1:20" s="6" customFormat="1" ht="19.5" hidden="1" customHeight="1" x14ac:dyDescent="0.15">
      <c r="A21" s="63">
        <v>21</v>
      </c>
      <c r="B21" s="63" t="s">
        <v>30</v>
      </c>
      <c r="C21" s="63" t="s">
        <v>42</v>
      </c>
      <c r="D21" s="63" t="s">
        <v>45</v>
      </c>
      <c r="E21" s="56" t="s">
        <v>46</v>
      </c>
      <c r="F21" s="59" t="s">
        <v>66</v>
      </c>
      <c r="G21" s="59"/>
      <c r="H21" s="59" t="s">
        <v>43</v>
      </c>
      <c r="I21" s="60">
        <v>176</v>
      </c>
      <c r="J21" s="60">
        <v>176</v>
      </c>
      <c r="K21" s="57">
        <f t="shared" si="0"/>
        <v>0</v>
      </c>
      <c r="L21" s="59" t="s">
        <v>54</v>
      </c>
      <c r="M21" s="59"/>
      <c r="N21" s="67"/>
      <c r="O21" s="8">
        <v>1</v>
      </c>
      <c r="P21" s="58" t="str">
        <f t="shared" si="1"/>
        <v>공유지</v>
      </c>
      <c r="Q21" s="8" t="str">
        <f t="shared" si="6"/>
        <v>공유지도</v>
      </c>
      <c r="R21" s="8" t="str">
        <f t="shared" si="7"/>
        <v>공유지도</v>
      </c>
      <c r="S21" s="19" t="str">
        <f t="shared" si="8"/>
        <v>마암 산146-6도</v>
      </c>
      <c r="T21" s="18">
        <f t="shared" si="5"/>
        <v>1</v>
      </c>
    </row>
    <row r="22" spans="1:20" s="6" customFormat="1" ht="19.5" hidden="1" customHeight="1" x14ac:dyDescent="0.15">
      <c r="A22" s="63">
        <v>22</v>
      </c>
      <c r="B22" s="63" t="s">
        <v>30</v>
      </c>
      <c r="C22" s="63" t="s">
        <v>42</v>
      </c>
      <c r="D22" s="63" t="s">
        <v>45</v>
      </c>
      <c r="E22" s="56" t="s">
        <v>46</v>
      </c>
      <c r="F22" s="59" t="s">
        <v>67</v>
      </c>
      <c r="G22" s="59"/>
      <c r="H22" s="59" t="s">
        <v>43</v>
      </c>
      <c r="I22" s="60">
        <v>37</v>
      </c>
      <c r="J22" s="60">
        <v>37</v>
      </c>
      <c r="K22" s="57">
        <f t="shared" si="0"/>
        <v>0</v>
      </c>
      <c r="L22" s="59" t="s">
        <v>65</v>
      </c>
      <c r="M22" s="59"/>
      <c r="N22" s="67"/>
      <c r="O22" s="8">
        <v>1</v>
      </c>
      <c r="P22" s="58" t="str">
        <f t="shared" si="1"/>
        <v>국유지</v>
      </c>
      <c r="Q22" s="8" t="str">
        <f t="shared" si="6"/>
        <v>국유지도</v>
      </c>
      <c r="R22" s="8" t="str">
        <f t="shared" si="7"/>
        <v>국유지도</v>
      </c>
      <c r="S22" s="19" t="str">
        <f t="shared" si="8"/>
        <v>마암 산146-7도</v>
      </c>
      <c r="T22" s="18">
        <f t="shared" si="5"/>
        <v>1</v>
      </c>
    </row>
    <row r="23" spans="1:20" s="6" customFormat="1" ht="19.5" hidden="1" customHeight="1" x14ac:dyDescent="0.15">
      <c r="A23" s="63">
        <v>23</v>
      </c>
      <c r="B23" s="63" t="s">
        <v>30</v>
      </c>
      <c r="C23" s="63" t="s">
        <v>42</v>
      </c>
      <c r="D23" s="63" t="s">
        <v>45</v>
      </c>
      <c r="E23" s="56" t="s">
        <v>46</v>
      </c>
      <c r="F23" s="59" t="s">
        <v>68</v>
      </c>
      <c r="G23" s="59"/>
      <c r="H23" s="59" t="s">
        <v>43</v>
      </c>
      <c r="I23" s="60">
        <v>29</v>
      </c>
      <c r="J23" s="60">
        <v>29</v>
      </c>
      <c r="K23" s="57">
        <f t="shared" si="0"/>
        <v>0</v>
      </c>
      <c r="L23" s="59" t="s">
        <v>44</v>
      </c>
      <c r="M23" s="59"/>
      <c r="N23" s="67"/>
      <c r="O23" s="8">
        <v>1</v>
      </c>
      <c r="P23" s="58" t="str">
        <f t="shared" si="1"/>
        <v>공유지</v>
      </c>
      <c r="Q23" s="8" t="str">
        <f t="shared" si="6"/>
        <v>공유지도</v>
      </c>
      <c r="R23" s="8" t="str">
        <f t="shared" si="7"/>
        <v>공유지도</v>
      </c>
      <c r="S23" s="19" t="str">
        <f t="shared" si="8"/>
        <v>마암 산146-8도</v>
      </c>
      <c r="T23" s="18">
        <f t="shared" si="5"/>
        <v>1</v>
      </c>
    </row>
    <row r="24" spans="1:20" s="6" customFormat="1" ht="19.5" hidden="1" customHeight="1" x14ac:dyDescent="0.15">
      <c r="A24" s="63">
        <v>25</v>
      </c>
      <c r="B24" s="63" t="s">
        <v>30</v>
      </c>
      <c r="C24" s="63" t="s">
        <v>42</v>
      </c>
      <c r="D24" s="63" t="s">
        <v>45</v>
      </c>
      <c r="E24" s="56" t="s">
        <v>46</v>
      </c>
      <c r="F24" s="59" t="s">
        <v>69</v>
      </c>
      <c r="G24" s="59"/>
      <c r="H24" s="59" t="s">
        <v>60</v>
      </c>
      <c r="I24" s="60">
        <v>198</v>
      </c>
      <c r="J24" s="60">
        <v>186</v>
      </c>
      <c r="K24" s="57">
        <f t="shared" si="0"/>
        <v>12</v>
      </c>
      <c r="L24" s="59" t="s">
        <v>65</v>
      </c>
      <c r="M24" s="59"/>
      <c r="N24" s="67"/>
      <c r="O24" s="8">
        <v>1</v>
      </c>
      <c r="P24" s="58" t="str">
        <f t="shared" si="1"/>
        <v>국유지</v>
      </c>
      <c r="Q24" s="8" t="str">
        <f t="shared" si="6"/>
        <v>국유지유</v>
      </c>
      <c r="R24" s="8" t="str">
        <f t="shared" si="7"/>
        <v>국유지유</v>
      </c>
      <c r="S24" s="19" t="str">
        <f t="shared" si="8"/>
        <v>마암 산147-1유</v>
      </c>
      <c r="T24" s="18">
        <f t="shared" si="5"/>
        <v>1</v>
      </c>
    </row>
    <row r="25" spans="1:20" s="6" customFormat="1" ht="19.5" hidden="1" customHeight="1" x14ac:dyDescent="0.15">
      <c r="A25" s="63">
        <v>27</v>
      </c>
      <c r="B25" s="63" t="s">
        <v>30</v>
      </c>
      <c r="C25" s="63" t="s">
        <v>42</v>
      </c>
      <c r="D25" s="63" t="s">
        <v>45</v>
      </c>
      <c r="E25" s="56" t="s">
        <v>46</v>
      </c>
      <c r="F25" s="59" t="s">
        <v>70</v>
      </c>
      <c r="G25" s="59"/>
      <c r="H25" s="59" t="s">
        <v>43</v>
      </c>
      <c r="I25" s="60">
        <v>121</v>
      </c>
      <c r="J25" s="60">
        <v>121</v>
      </c>
      <c r="K25" s="57">
        <f t="shared" si="0"/>
        <v>0</v>
      </c>
      <c r="L25" s="59" t="s">
        <v>65</v>
      </c>
      <c r="M25" s="59"/>
      <c r="N25" s="67"/>
      <c r="O25" s="8">
        <v>1</v>
      </c>
      <c r="P25" s="58" t="str">
        <f t="shared" si="1"/>
        <v>국유지</v>
      </c>
      <c r="Q25" s="8" t="str">
        <f t="shared" si="6"/>
        <v>국유지도</v>
      </c>
      <c r="R25" s="8" t="str">
        <f t="shared" si="7"/>
        <v>국유지도</v>
      </c>
      <c r="S25" s="19" t="str">
        <f t="shared" si="8"/>
        <v>마암 산147-10도</v>
      </c>
      <c r="T25" s="18">
        <f t="shared" si="5"/>
        <v>1</v>
      </c>
    </row>
    <row r="26" spans="1:20" s="6" customFormat="1" ht="19.5" hidden="1" customHeight="1" x14ac:dyDescent="0.15">
      <c r="A26" s="63">
        <v>28</v>
      </c>
      <c r="B26" s="63" t="s">
        <v>30</v>
      </c>
      <c r="C26" s="63" t="s">
        <v>42</v>
      </c>
      <c r="D26" s="63" t="s">
        <v>45</v>
      </c>
      <c r="E26" s="56" t="s">
        <v>46</v>
      </c>
      <c r="F26" s="59" t="s">
        <v>71</v>
      </c>
      <c r="G26" s="59"/>
      <c r="H26" s="59" t="s">
        <v>41</v>
      </c>
      <c r="I26" s="60">
        <v>51</v>
      </c>
      <c r="J26" s="60">
        <v>51</v>
      </c>
      <c r="K26" s="57">
        <f t="shared" si="0"/>
        <v>0</v>
      </c>
      <c r="L26" s="59" t="s">
        <v>74</v>
      </c>
      <c r="M26" s="59"/>
      <c r="N26" s="67"/>
      <c r="O26" s="8">
        <v>1</v>
      </c>
      <c r="P26" s="58" t="str">
        <f t="shared" si="1"/>
        <v>국유지</v>
      </c>
      <c r="Q26" s="8" t="str">
        <f t="shared" si="6"/>
        <v>국유지임</v>
      </c>
      <c r="R26" s="8" t="str">
        <f t="shared" si="7"/>
        <v>국유지임</v>
      </c>
      <c r="S26" s="19" t="str">
        <f t="shared" si="8"/>
        <v>마암 산147-12임</v>
      </c>
      <c r="T26" s="18">
        <f t="shared" si="5"/>
        <v>1</v>
      </c>
    </row>
    <row r="27" spans="1:20" s="6" customFormat="1" ht="19.5" hidden="1" customHeight="1" x14ac:dyDescent="0.15">
      <c r="A27" s="63">
        <v>29</v>
      </c>
      <c r="B27" s="63" t="s">
        <v>30</v>
      </c>
      <c r="C27" s="63" t="s">
        <v>42</v>
      </c>
      <c r="D27" s="63" t="s">
        <v>45</v>
      </c>
      <c r="E27" s="56" t="s">
        <v>46</v>
      </c>
      <c r="F27" s="59" t="s">
        <v>72</v>
      </c>
      <c r="G27" s="59"/>
      <c r="H27" s="59" t="s">
        <v>43</v>
      </c>
      <c r="I27" s="60">
        <v>1</v>
      </c>
      <c r="J27" s="60">
        <v>1</v>
      </c>
      <c r="K27" s="57">
        <f t="shared" si="0"/>
        <v>0</v>
      </c>
      <c r="L27" s="59" t="s">
        <v>65</v>
      </c>
      <c r="M27" s="59"/>
      <c r="N27" s="67"/>
      <c r="O27" s="8">
        <v>1</v>
      </c>
      <c r="P27" s="58" t="str">
        <f t="shared" si="1"/>
        <v>국유지</v>
      </c>
      <c r="Q27" s="8" t="str">
        <f t="shared" si="6"/>
        <v>국유지도</v>
      </c>
      <c r="R27" s="8" t="str">
        <f t="shared" si="7"/>
        <v>국유지도</v>
      </c>
      <c r="S27" s="19" t="str">
        <f t="shared" si="8"/>
        <v>마암 산147-15도</v>
      </c>
      <c r="T27" s="18">
        <f t="shared" si="5"/>
        <v>1</v>
      </c>
    </row>
    <row r="28" spans="1:20" s="6" customFormat="1" ht="19.5" hidden="1" customHeight="1" x14ac:dyDescent="0.15">
      <c r="A28" s="63">
        <v>30</v>
      </c>
      <c r="B28" s="63" t="s">
        <v>30</v>
      </c>
      <c r="C28" s="63" t="s">
        <v>42</v>
      </c>
      <c r="D28" s="63" t="s">
        <v>45</v>
      </c>
      <c r="E28" s="56" t="s">
        <v>46</v>
      </c>
      <c r="F28" s="59" t="s">
        <v>73</v>
      </c>
      <c r="G28" s="59"/>
      <c r="H28" s="59" t="s">
        <v>60</v>
      </c>
      <c r="I28" s="60">
        <v>246</v>
      </c>
      <c r="J28" s="60">
        <v>246</v>
      </c>
      <c r="K28" s="57">
        <f t="shared" si="0"/>
        <v>0</v>
      </c>
      <c r="L28" s="59" t="s">
        <v>75</v>
      </c>
      <c r="M28" s="59"/>
      <c r="N28" s="67"/>
      <c r="O28" s="8">
        <v>1</v>
      </c>
      <c r="P28" s="58" t="str">
        <f t="shared" si="1"/>
        <v>국유지</v>
      </c>
      <c r="Q28" s="8" t="str">
        <f t="shared" si="6"/>
        <v>국유지유</v>
      </c>
      <c r="R28" s="8" t="str">
        <f t="shared" si="7"/>
        <v>국유지유</v>
      </c>
      <c r="S28" s="19" t="str">
        <f t="shared" si="8"/>
        <v>마암 산147-16유</v>
      </c>
      <c r="T28" s="18">
        <f t="shared" si="5"/>
        <v>1</v>
      </c>
    </row>
    <row r="29" spans="1:20" s="6" customFormat="1" ht="19.5" hidden="1" customHeight="1" x14ac:dyDescent="0.15">
      <c r="A29" s="63">
        <v>31</v>
      </c>
      <c r="B29" s="63" t="s">
        <v>30</v>
      </c>
      <c r="C29" s="63" t="s">
        <v>42</v>
      </c>
      <c r="D29" s="63" t="s">
        <v>45</v>
      </c>
      <c r="E29" s="56" t="s">
        <v>46</v>
      </c>
      <c r="F29" s="59" t="s">
        <v>76</v>
      </c>
      <c r="G29" s="59"/>
      <c r="H29" s="59" t="s">
        <v>43</v>
      </c>
      <c r="I29" s="60">
        <v>397</v>
      </c>
      <c r="J29" s="60">
        <v>397</v>
      </c>
      <c r="K29" s="57">
        <f t="shared" si="0"/>
        <v>0</v>
      </c>
      <c r="L29" s="59" t="s">
        <v>65</v>
      </c>
      <c r="M29" s="59"/>
      <c r="N29" s="67"/>
      <c r="O29" s="8">
        <v>1</v>
      </c>
      <c r="P29" s="58" t="str">
        <f t="shared" si="1"/>
        <v>국유지</v>
      </c>
      <c r="Q29" s="8" t="str">
        <f t="shared" si="6"/>
        <v>국유지도</v>
      </c>
      <c r="R29" s="8" t="str">
        <f t="shared" si="7"/>
        <v>국유지도</v>
      </c>
      <c r="S29" s="19" t="str">
        <f t="shared" si="8"/>
        <v>마암 산147-3도</v>
      </c>
      <c r="T29" s="18">
        <f t="shared" si="5"/>
        <v>1</v>
      </c>
    </row>
    <row r="30" spans="1:20" s="6" customFormat="1" ht="19.5" hidden="1" customHeight="1" x14ac:dyDescent="0.15">
      <c r="A30" s="63">
        <v>33</v>
      </c>
      <c r="B30" s="63" t="s">
        <v>30</v>
      </c>
      <c r="C30" s="63" t="s">
        <v>42</v>
      </c>
      <c r="D30" s="63" t="s">
        <v>45</v>
      </c>
      <c r="E30" s="56" t="s">
        <v>46</v>
      </c>
      <c r="F30" s="59" t="s">
        <v>77</v>
      </c>
      <c r="G30" s="59"/>
      <c r="H30" s="59" t="s">
        <v>43</v>
      </c>
      <c r="I30" s="60">
        <v>193</v>
      </c>
      <c r="J30" s="60">
        <v>193</v>
      </c>
      <c r="K30" s="57">
        <f t="shared" si="0"/>
        <v>0</v>
      </c>
      <c r="L30" s="59" t="s">
        <v>65</v>
      </c>
      <c r="M30" s="59"/>
      <c r="N30" s="67"/>
      <c r="O30" s="8">
        <v>1</v>
      </c>
      <c r="P30" s="58" t="str">
        <f t="shared" si="1"/>
        <v>국유지</v>
      </c>
      <c r="Q30" s="8" t="str">
        <f t="shared" si="6"/>
        <v>국유지도</v>
      </c>
      <c r="R30" s="8" t="str">
        <f t="shared" si="7"/>
        <v>국유지도</v>
      </c>
      <c r="S30" s="19" t="str">
        <f t="shared" si="8"/>
        <v>마암 산147-8도</v>
      </c>
      <c r="T30" s="18">
        <f t="shared" si="5"/>
        <v>1</v>
      </c>
    </row>
    <row r="31" spans="1:20" s="6" customFormat="1" ht="19.5" hidden="1" customHeight="1" x14ac:dyDescent="0.15">
      <c r="A31" s="63">
        <v>34</v>
      </c>
      <c r="B31" s="63" t="s">
        <v>30</v>
      </c>
      <c r="C31" s="63" t="s">
        <v>42</v>
      </c>
      <c r="D31" s="63" t="s">
        <v>45</v>
      </c>
      <c r="E31" s="56" t="s">
        <v>46</v>
      </c>
      <c r="F31" s="59" t="s">
        <v>78</v>
      </c>
      <c r="G31" s="59"/>
      <c r="H31" s="59" t="s">
        <v>43</v>
      </c>
      <c r="I31" s="60">
        <v>20</v>
      </c>
      <c r="J31" s="60">
        <v>20</v>
      </c>
      <c r="K31" s="57">
        <f t="shared" si="0"/>
        <v>0</v>
      </c>
      <c r="L31" s="59" t="s">
        <v>65</v>
      </c>
      <c r="M31" s="59"/>
      <c r="N31" s="67"/>
      <c r="O31" s="8">
        <v>1</v>
      </c>
      <c r="P31" s="58" t="str">
        <f t="shared" si="1"/>
        <v>국유지</v>
      </c>
      <c r="Q31" s="8" t="str">
        <f t="shared" si="6"/>
        <v>국유지도</v>
      </c>
      <c r="R31" s="8" t="str">
        <f t="shared" si="7"/>
        <v>국유지도</v>
      </c>
      <c r="S31" s="19" t="str">
        <f t="shared" si="8"/>
        <v>마암 산147-9도</v>
      </c>
      <c r="T31" s="18">
        <f t="shared" si="5"/>
        <v>1</v>
      </c>
    </row>
    <row r="32" spans="1:20" s="6" customFormat="1" ht="19.5" hidden="1" customHeight="1" x14ac:dyDescent="0.15">
      <c r="A32" s="63">
        <v>35</v>
      </c>
      <c r="B32" s="63" t="s">
        <v>30</v>
      </c>
      <c r="C32" s="63" t="s">
        <v>42</v>
      </c>
      <c r="D32" s="63" t="s">
        <v>45</v>
      </c>
      <c r="E32" s="56" t="s">
        <v>46</v>
      </c>
      <c r="F32" s="59" t="s">
        <v>79</v>
      </c>
      <c r="G32" s="59"/>
      <c r="H32" s="59" t="s">
        <v>41</v>
      </c>
      <c r="I32" s="60">
        <v>135</v>
      </c>
      <c r="J32" s="60">
        <v>135</v>
      </c>
      <c r="K32" s="57">
        <f t="shared" si="0"/>
        <v>0</v>
      </c>
      <c r="L32" s="59" t="s">
        <v>54</v>
      </c>
      <c r="M32" s="59"/>
      <c r="N32" s="67"/>
      <c r="O32" s="8">
        <v>1</v>
      </c>
      <c r="P32" s="58" t="str">
        <f t="shared" si="1"/>
        <v>공유지</v>
      </c>
      <c r="Q32" s="8" t="str">
        <f t="shared" si="6"/>
        <v>공유지임</v>
      </c>
      <c r="R32" s="8" t="str">
        <f t="shared" si="7"/>
        <v>공유지임</v>
      </c>
      <c r="S32" s="19" t="str">
        <f t="shared" si="8"/>
        <v>마암 산148-2임</v>
      </c>
      <c r="T32" s="18">
        <f t="shared" si="5"/>
        <v>1</v>
      </c>
    </row>
    <row r="33" spans="1:20" s="6" customFormat="1" ht="19.5" hidden="1" customHeight="1" x14ac:dyDescent="0.15">
      <c r="A33" s="63">
        <v>36</v>
      </c>
      <c r="B33" s="63" t="s">
        <v>30</v>
      </c>
      <c r="C33" s="63" t="s">
        <v>42</v>
      </c>
      <c r="D33" s="63" t="s">
        <v>45</v>
      </c>
      <c r="E33" s="56" t="s">
        <v>46</v>
      </c>
      <c r="F33" s="59" t="s">
        <v>80</v>
      </c>
      <c r="G33" s="59"/>
      <c r="H33" s="59" t="s">
        <v>41</v>
      </c>
      <c r="I33" s="60">
        <v>33</v>
      </c>
      <c r="J33" s="60">
        <v>4</v>
      </c>
      <c r="K33" s="57">
        <f t="shared" si="0"/>
        <v>29</v>
      </c>
      <c r="L33" s="59" t="s">
        <v>54</v>
      </c>
      <c r="M33" s="59"/>
      <c r="N33" s="67"/>
      <c r="O33" s="8">
        <v>1</v>
      </c>
      <c r="P33" s="58" t="str">
        <f t="shared" si="1"/>
        <v>공유지</v>
      </c>
      <c r="Q33" s="8" t="str">
        <f t="shared" si="6"/>
        <v>공유지임</v>
      </c>
      <c r="R33" s="8" t="str">
        <f t="shared" si="7"/>
        <v>공유지임</v>
      </c>
      <c r="S33" s="19" t="str">
        <f t="shared" si="8"/>
        <v>마암 산148-4임</v>
      </c>
      <c r="T33" s="18">
        <f t="shared" si="5"/>
        <v>1</v>
      </c>
    </row>
    <row r="34" spans="1:20" s="6" customFormat="1" ht="19.5" hidden="1" customHeight="1" x14ac:dyDescent="0.15">
      <c r="A34" s="63">
        <v>37</v>
      </c>
      <c r="B34" s="63" t="s">
        <v>30</v>
      </c>
      <c r="C34" s="63" t="s">
        <v>42</v>
      </c>
      <c r="D34" s="63" t="s">
        <v>45</v>
      </c>
      <c r="E34" s="56" t="s">
        <v>46</v>
      </c>
      <c r="F34" s="59" t="s">
        <v>81</v>
      </c>
      <c r="G34" s="59"/>
      <c r="H34" s="59" t="s">
        <v>43</v>
      </c>
      <c r="I34" s="60">
        <v>198</v>
      </c>
      <c r="J34" s="60">
        <v>198</v>
      </c>
      <c r="K34" s="57">
        <f t="shared" si="0"/>
        <v>0</v>
      </c>
      <c r="L34" s="59" t="s">
        <v>65</v>
      </c>
      <c r="M34" s="59"/>
      <c r="N34" s="67"/>
      <c r="O34" s="8">
        <v>1</v>
      </c>
      <c r="P34" s="58" t="str">
        <f t="shared" si="1"/>
        <v>국유지</v>
      </c>
      <c r="Q34" s="8" t="str">
        <f t="shared" si="6"/>
        <v>국유지도</v>
      </c>
      <c r="R34" s="8" t="str">
        <f t="shared" si="7"/>
        <v>국유지도</v>
      </c>
      <c r="S34" s="19" t="str">
        <f t="shared" si="8"/>
        <v>마암 산148-8도</v>
      </c>
      <c r="T34" s="18">
        <f t="shared" si="5"/>
        <v>1</v>
      </c>
    </row>
    <row r="35" spans="1:20" s="6" customFormat="1" ht="19.5" hidden="1" customHeight="1" x14ac:dyDescent="0.15">
      <c r="A35" s="63">
        <v>38</v>
      </c>
      <c r="B35" s="63" t="s">
        <v>30</v>
      </c>
      <c r="C35" s="63" t="s">
        <v>42</v>
      </c>
      <c r="D35" s="63" t="s">
        <v>45</v>
      </c>
      <c r="E35" s="56" t="s">
        <v>46</v>
      </c>
      <c r="F35" s="59" t="s">
        <v>82</v>
      </c>
      <c r="G35" s="59"/>
      <c r="H35" s="59" t="s">
        <v>43</v>
      </c>
      <c r="I35" s="60">
        <v>42</v>
      </c>
      <c r="J35" s="60">
        <v>42</v>
      </c>
      <c r="K35" s="57">
        <f t="shared" si="0"/>
        <v>0</v>
      </c>
      <c r="L35" s="59" t="s">
        <v>65</v>
      </c>
      <c r="M35" s="59"/>
      <c r="N35" s="67"/>
      <c r="O35" s="8">
        <v>1</v>
      </c>
      <c r="P35" s="58" t="str">
        <f t="shared" si="1"/>
        <v>국유지</v>
      </c>
      <c r="Q35" s="8" t="str">
        <f t="shared" si="6"/>
        <v>국유지도</v>
      </c>
      <c r="R35" s="8" t="str">
        <f t="shared" si="7"/>
        <v>국유지도</v>
      </c>
      <c r="S35" s="19" t="str">
        <f t="shared" si="8"/>
        <v>마암 산148-9도</v>
      </c>
      <c r="T35" s="18">
        <f t="shared" si="5"/>
        <v>1</v>
      </c>
    </row>
    <row r="36" spans="1:20" s="6" customFormat="1" ht="19.5" hidden="1" customHeight="1" x14ac:dyDescent="0.15">
      <c r="A36" s="63">
        <v>39</v>
      </c>
      <c r="B36" s="63" t="s">
        <v>30</v>
      </c>
      <c r="C36" s="63" t="s">
        <v>42</v>
      </c>
      <c r="D36" s="63" t="s">
        <v>45</v>
      </c>
      <c r="E36" s="56" t="s">
        <v>46</v>
      </c>
      <c r="F36" s="59" t="s">
        <v>83</v>
      </c>
      <c r="G36" s="59"/>
      <c r="H36" s="59" t="s">
        <v>43</v>
      </c>
      <c r="I36" s="60">
        <v>55</v>
      </c>
      <c r="J36" s="60">
        <v>2</v>
      </c>
      <c r="K36" s="57">
        <f t="shared" si="0"/>
        <v>53</v>
      </c>
      <c r="L36" s="59" t="s">
        <v>65</v>
      </c>
      <c r="M36" s="59"/>
      <c r="N36" s="67"/>
      <c r="O36" s="8">
        <v>1</v>
      </c>
      <c r="P36" s="58" t="str">
        <f t="shared" si="1"/>
        <v>국유지</v>
      </c>
      <c r="Q36" s="8" t="str">
        <f t="shared" si="6"/>
        <v>국유지도</v>
      </c>
      <c r="R36" s="8" t="str">
        <f t="shared" si="7"/>
        <v>국유지도</v>
      </c>
      <c r="S36" s="19" t="str">
        <f t="shared" si="8"/>
        <v>마암 산148-13도</v>
      </c>
      <c r="T36" s="18">
        <f t="shared" si="5"/>
        <v>1</v>
      </c>
    </row>
    <row r="37" spans="1:20" s="6" customFormat="1" ht="19.5" hidden="1" customHeight="1" x14ac:dyDescent="0.15">
      <c r="A37" s="63">
        <v>40</v>
      </c>
      <c r="B37" s="63" t="s">
        <v>30</v>
      </c>
      <c r="C37" s="63" t="s">
        <v>42</v>
      </c>
      <c r="D37" s="63" t="s">
        <v>45</v>
      </c>
      <c r="E37" s="56" t="s">
        <v>46</v>
      </c>
      <c r="F37" s="59" t="s">
        <v>84</v>
      </c>
      <c r="G37" s="59"/>
      <c r="H37" s="59" t="s">
        <v>43</v>
      </c>
      <c r="I37" s="60">
        <v>35</v>
      </c>
      <c r="J37" s="60">
        <v>28</v>
      </c>
      <c r="K37" s="57">
        <f t="shared" si="0"/>
        <v>7</v>
      </c>
      <c r="L37" s="59" t="s">
        <v>54</v>
      </c>
      <c r="M37" s="59"/>
      <c r="N37" s="67"/>
      <c r="O37" s="8">
        <v>1</v>
      </c>
      <c r="P37" s="58" t="str">
        <f t="shared" si="1"/>
        <v>공유지</v>
      </c>
      <c r="Q37" s="8" t="str">
        <f t="shared" si="6"/>
        <v>공유지도</v>
      </c>
      <c r="R37" s="8" t="str">
        <f t="shared" si="7"/>
        <v>공유지도</v>
      </c>
      <c r="S37" s="19" t="str">
        <f t="shared" si="8"/>
        <v>마암 산149-10도</v>
      </c>
      <c r="T37" s="18">
        <f t="shared" si="5"/>
        <v>1</v>
      </c>
    </row>
    <row r="38" spans="1:20" s="6" customFormat="1" ht="19.5" hidden="1" customHeight="1" x14ac:dyDescent="0.15">
      <c r="A38" s="63">
        <v>41</v>
      </c>
      <c r="B38" s="63" t="s">
        <v>30</v>
      </c>
      <c r="C38" s="63" t="s">
        <v>42</v>
      </c>
      <c r="D38" s="63" t="s">
        <v>45</v>
      </c>
      <c r="E38" s="56" t="s">
        <v>46</v>
      </c>
      <c r="F38" s="59" t="s">
        <v>85</v>
      </c>
      <c r="G38" s="59"/>
      <c r="H38" s="59" t="s">
        <v>43</v>
      </c>
      <c r="I38" s="60">
        <v>96</v>
      </c>
      <c r="J38" s="60">
        <v>96</v>
      </c>
      <c r="K38" s="57">
        <f t="shared" si="0"/>
        <v>0</v>
      </c>
      <c r="L38" s="59" t="s">
        <v>65</v>
      </c>
      <c r="M38" s="59"/>
      <c r="N38" s="67"/>
      <c r="O38" s="8">
        <v>1</v>
      </c>
      <c r="P38" s="58" t="str">
        <f t="shared" si="1"/>
        <v>국유지</v>
      </c>
      <c r="Q38" s="8" t="str">
        <f t="shared" si="6"/>
        <v>국유지도</v>
      </c>
      <c r="R38" s="8" t="str">
        <f t="shared" si="7"/>
        <v>국유지도</v>
      </c>
      <c r="S38" s="19" t="str">
        <f t="shared" si="8"/>
        <v>마암 산149-4도</v>
      </c>
      <c r="T38" s="18">
        <f t="shared" si="5"/>
        <v>1</v>
      </c>
    </row>
    <row r="39" spans="1:20" s="6" customFormat="1" ht="19.5" hidden="1" customHeight="1" x14ac:dyDescent="0.15">
      <c r="A39" s="63">
        <v>42</v>
      </c>
      <c r="B39" s="63" t="s">
        <v>30</v>
      </c>
      <c r="C39" s="63" t="s">
        <v>42</v>
      </c>
      <c r="D39" s="63" t="s">
        <v>45</v>
      </c>
      <c r="E39" s="56" t="s">
        <v>46</v>
      </c>
      <c r="F39" s="59" t="s">
        <v>86</v>
      </c>
      <c r="G39" s="59"/>
      <c r="H39" s="59" t="s">
        <v>43</v>
      </c>
      <c r="I39" s="61">
        <v>1045</v>
      </c>
      <c r="J39" s="61">
        <v>1036</v>
      </c>
      <c r="K39" s="57">
        <f t="shared" si="0"/>
        <v>9</v>
      </c>
      <c r="L39" s="59" t="s">
        <v>54</v>
      </c>
      <c r="M39" s="59"/>
      <c r="N39" s="67"/>
      <c r="O39" s="8">
        <v>1</v>
      </c>
      <c r="P39" s="58" t="str">
        <f t="shared" si="1"/>
        <v>공유지</v>
      </c>
      <c r="Q39" s="8" t="str">
        <f t="shared" si="6"/>
        <v>공유지도</v>
      </c>
      <c r="R39" s="8" t="str">
        <f t="shared" si="7"/>
        <v>공유지도</v>
      </c>
      <c r="S39" s="19" t="str">
        <f t="shared" si="8"/>
        <v>마암 산149-6도</v>
      </c>
      <c r="T39" s="18">
        <f t="shared" si="5"/>
        <v>1</v>
      </c>
    </row>
    <row r="40" spans="1:20" s="6" customFormat="1" ht="19.5" hidden="1" customHeight="1" x14ac:dyDescent="0.15">
      <c r="A40" s="63">
        <v>43</v>
      </c>
      <c r="B40" s="63" t="s">
        <v>30</v>
      </c>
      <c r="C40" s="63" t="s">
        <v>42</v>
      </c>
      <c r="D40" s="63" t="s">
        <v>45</v>
      </c>
      <c r="E40" s="56" t="s">
        <v>46</v>
      </c>
      <c r="F40" s="59" t="s">
        <v>87</v>
      </c>
      <c r="G40" s="59"/>
      <c r="H40" s="59" t="s">
        <v>43</v>
      </c>
      <c r="I40" s="60">
        <v>299</v>
      </c>
      <c r="J40" s="60">
        <v>228</v>
      </c>
      <c r="K40" s="57">
        <f t="shared" si="0"/>
        <v>71</v>
      </c>
      <c r="L40" s="59" t="s">
        <v>65</v>
      </c>
      <c r="M40" s="59"/>
      <c r="N40" s="67"/>
      <c r="O40" s="8">
        <v>1</v>
      </c>
      <c r="P40" s="58" t="str">
        <f t="shared" si="1"/>
        <v>국유지</v>
      </c>
      <c r="Q40" s="8" t="str">
        <f t="shared" si="6"/>
        <v>국유지도</v>
      </c>
      <c r="R40" s="8" t="str">
        <f t="shared" si="7"/>
        <v>국유지도</v>
      </c>
      <c r="S40" s="19" t="str">
        <f t="shared" si="8"/>
        <v>마암 산149-8도</v>
      </c>
      <c r="T40" s="18">
        <f t="shared" si="5"/>
        <v>1</v>
      </c>
    </row>
    <row r="41" spans="1:20" s="6" customFormat="1" ht="19.5" hidden="1" customHeight="1" x14ac:dyDescent="0.15">
      <c r="A41" s="63">
        <v>44</v>
      </c>
      <c r="B41" s="63" t="s">
        <v>30</v>
      </c>
      <c r="C41" s="63" t="s">
        <v>42</v>
      </c>
      <c r="D41" s="63" t="s">
        <v>45</v>
      </c>
      <c r="E41" s="56" t="s">
        <v>46</v>
      </c>
      <c r="F41" s="59" t="s">
        <v>88</v>
      </c>
      <c r="G41" s="59"/>
      <c r="H41" s="59" t="s">
        <v>43</v>
      </c>
      <c r="I41" s="60">
        <v>99</v>
      </c>
      <c r="J41" s="60">
        <v>99</v>
      </c>
      <c r="K41" s="57">
        <f t="shared" si="0"/>
        <v>0</v>
      </c>
      <c r="L41" s="59" t="s">
        <v>54</v>
      </c>
      <c r="M41" s="59"/>
      <c r="N41" s="67"/>
      <c r="O41" s="8">
        <v>1</v>
      </c>
      <c r="P41" s="58" t="str">
        <f t="shared" si="1"/>
        <v>공유지</v>
      </c>
      <c r="Q41" s="8" t="str">
        <f t="shared" si="6"/>
        <v>공유지도</v>
      </c>
      <c r="R41" s="8" t="str">
        <f t="shared" si="7"/>
        <v>공유지도</v>
      </c>
      <c r="S41" s="19" t="str">
        <f t="shared" si="8"/>
        <v>마암 산152-1도</v>
      </c>
      <c r="T41" s="18">
        <f t="shared" si="5"/>
        <v>1</v>
      </c>
    </row>
    <row r="42" spans="1:20" s="6" customFormat="1" ht="19.5" hidden="1" customHeight="1" x14ac:dyDescent="0.15">
      <c r="A42" s="63">
        <v>45</v>
      </c>
      <c r="B42" s="63" t="s">
        <v>30</v>
      </c>
      <c r="C42" s="63" t="s">
        <v>42</v>
      </c>
      <c r="D42" s="63" t="s">
        <v>45</v>
      </c>
      <c r="E42" s="56" t="s">
        <v>46</v>
      </c>
      <c r="F42" s="59" t="s">
        <v>89</v>
      </c>
      <c r="G42" s="59"/>
      <c r="H42" s="59" t="s">
        <v>41</v>
      </c>
      <c r="I42" s="60">
        <v>99</v>
      </c>
      <c r="J42" s="60">
        <v>99</v>
      </c>
      <c r="K42" s="57">
        <f t="shared" si="0"/>
        <v>0</v>
      </c>
      <c r="L42" s="59" t="s">
        <v>54</v>
      </c>
      <c r="M42" s="59"/>
      <c r="N42" s="67"/>
      <c r="O42" s="8">
        <v>1</v>
      </c>
      <c r="P42" s="58" t="str">
        <f t="shared" si="1"/>
        <v>공유지</v>
      </c>
      <c r="Q42" s="8" t="str">
        <f t="shared" si="6"/>
        <v>공유지임</v>
      </c>
      <c r="R42" s="8" t="str">
        <f t="shared" si="7"/>
        <v>공유지임</v>
      </c>
      <c r="S42" s="19" t="str">
        <f t="shared" si="8"/>
        <v>마암 산152-3임</v>
      </c>
      <c r="T42" s="18">
        <f t="shared" si="5"/>
        <v>1</v>
      </c>
    </row>
    <row r="43" spans="1:20" s="6" customFormat="1" ht="19.5" hidden="1" customHeight="1" x14ac:dyDescent="0.15">
      <c r="A43" s="63">
        <v>46</v>
      </c>
      <c r="B43" s="63" t="s">
        <v>30</v>
      </c>
      <c r="C43" s="63" t="s">
        <v>42</v>
      </c>
      <c r="D43" s="63" t="s">
        <v>45</v>
      </c>
      <c r="E43" s="56" t="s">
        <v>46</v>
      </c>
      <c r="F43" s="59" t="s">
        <v>90</v>
      </c>
      <c r="G43" s="59"/>
      <c r="H43" s="59" t="s">
        <v>43</v>
      </c>
      <c r="I43" s="60">
        <v>99</v>
      </c>
      <c r="J43" s="60">
        <v>99</v>
      </c>
      <c r="K43" s="57">
        <f t="shared" si="0"/>
        <v>0</v>
      </c>
      <c r="L43" s="59" t="s">
        <v>65</v>
      </c>
      <c r="M43" s="62"/>
      <c r="N43" s="67"/>
      <c r="O43" s="8">
        <v>1</v>
      </c>
      <c r="P43" s="58" t="str">
        <f t="shared" si="1"/>
        <v>국유지</v>
      </c>
      <c r="Q43" s="8" t="str">
        <f t="shared" si="6"/>
        <v>국유지도</v>
      </c>
      <c r="R43" s="8" t="str">
        <f t="shared" si="7"/>
        <v>국유지도</v>
      </c>
      <c r="S43" s="19" t="str">
        <f t="shared" si="8"/>
        <v>마암 산152-4도</v>
      </c>
      <c r="T43" s="18">
        <f t="shared" si="5"/>
        <v>1</v>
      </c>
    </row>
    <row r="44" spans="1:20" s="6" customFormat="1" ht="19.5" hidden="1" customHeight="1" x14ac:dyDescent="0.15">
      <c r="A44" s="63">
        <v>47</v>
      </c>
      <c r="B44" s="63" t="s">
        <v>30</v>
      </c>
      <c r="C44" s="63" t="s">
        <v>42</v>
      </c>
      <c r="D44" s="63" t="s">
        <v>45</v>
      </c>
      <c r="E44" s="56" t="s">
        <v>46</v>
      </c>
      <c r="F44" s="59" t="s">
        <v>91</v>
      </c>
      <c r="G44" s="59"/>
      <c r="H44" s="59" t="s">
        <v>43</v>
      </c>
      <c r="I44" s="60">
        <v>20</v>
      </c>
      <c r="J44" s="60">
        <v>20</v>
      </c>
      <c r="K44" s="57">
        <f t="shared" si="0"/>
        <v>0</v>
      </c>
      <c r="L44" s="59" t="s">
        <v>65</v>
      </c>
      <c r="M44" s="62"/>
      <c r="N44" s="67"/>
      <c r="O44" s="8">
        <v>1</v>
      </c>
      <c r="P44" s="58" t="str">
        <f t="shared" si="1"/>
        <v>국유지</v>
      </c>
      <c r="Q44" s="8" t="str">
        <f t="shared" si="6"/>
        <v>국유지도</v>
      </c>
      <c r="R44" s="8" t="str">
        <f t="shared" si="7"/>
        <v>국유지도</v>
      </c>
      <c r="S44" s="19" t="str">
        <f t="shared" si="8"/>
        <v>마암 산152-7도</v>
      </c>
      <c r="T44" s="18">
        <f t="shared" si="5"/>
        <v>1</v>
      </c>
    </row>
    <row r="45" spans="1:20" s="6" customFormat="1" ht="19.5" hidden="1" customHeight="1" x14ac:dyDescent="0.15">
      <c r="A45" s="63">
        <v>48</v>
      </c>
      <c r="B45" s="63" t="s">
        <v>30</v>
      </c>
      <c r="C45" s="63" t="s">
        <v>42</v>
      </c>
      <c r="D45" s="63" t="s">
        <v>45</v>
      </c>
      <c r="E45" s="56" t="s">
        <v>46</v>
      </c>
      <c r="F45" s="59" t="s">
        <v>92</v>
      </c>
      <c r="G45" s="59"/>
      <c r="H45" s="59" t="s">
        <v>43</v>
      </c>
      <c r="I45" s="60">
        <v>15</v>
      </c>
      <c r="J45" s="60">
        <v>15</v>
      </c>
      <c r="K45" s="57">
        <f t="shared" si="0"/>
        <v>0</v>
      </c>
      <c r="L45" s="59" t="s">
        <v>65</v>
      </c>
      <c r="M45" s="62"/>
      <c r="N45" s="67"/>
      <c r="O45" s="8">
        <v>1</v>
      </c>
      <c r="P45" s="58" t="str">
        <f t="shared" si="1"/>
        <v>국유지</v>
      </c>
      <c r="Q45" s="8" t="str">
        <f t="shared" si="6"/>
        <v>국유지도</v>
      </c>
      <c r="R45" s="8" t="str">
        <f t="shared" si="7"/>
        <v>국유지도</v>
      </c>
      <c r="S45" s="19" t="str">
        <f t="shared" si="8"/>
        <v>마암 산152-8도</v>
      </c>
      <c r="T45" s="18">
        <f t="shared" si="5"/>
        <v>1</v>
      </c>
    </row>
    <row r="46" spans="1:20" s="6" customFormat="1" ht="19.5" hidden="1" customHeight="1" x14ac:dyDescent="0.15">
      <c r="A46" s="63">
        <v>49</v>
      </c>
      <c r="B46" s="63" t="s">
        <v>30</v>
      </c>
      <c r="C46" s="63" t="s">
        <v>42</v>
      </c>
      <c r="D46" s="63" t="s">
        <v>45</v>
      </c>
      <c r="E46" s="56" t="s">
        <v>46</v>
      </c>
      <c r="F46" s="59" t="s">
        <v>93</v>
      </c>
      <c r="G46" s="59"/>
      <c r="H46" s="59" t="s">
        <v>43</v>
      </c>
      <c r="I46" s="60">
        <v>73</v>
      </c>
      <c r="J46" s="60">
        <v>73</v>
      </c>
      <c r="K46" s="57">
        <f t="shared" si="0"/>
        <v>0</v>
      </c>
      <c r="L46" s="59" t="s">
        <v>54</v>
      </c>
      <c r="M46" s="62"/>
      <c r="N46" s="67"/>
      <c r="O46" s="8">
        <v>1</v>
      </c>
      <c r="P46" s="58" t="str">
        <f t="shared" si="1"/>
        <v>공유지</v>
      </c>
      <c r="Q46" s="8" t="str">
        <f t="shared" si="6"/>
        <v>공유지도</v>
      </c>
      <c r="R46" s="8" t="str">
        <f t="shared" si="7"/>
        <v>공유지도</v>
      </c>
      <c r="S46" s="19" t="str">
        <f t="shared" si="8"/>
        <v>마암 산152-9도</v>
      </c>
      <c r="T46" s="18">
        <f t="shared" si="5"/>
        <v>1</v>
      </c>
    </row>
    <row r="47" spans="1:20" s="6" customFormat="1" ht="19.5" hidden="1" customHeight="1" x14ac:dyDescent="0.15">
      <c r="A47" s="63">
        <v>50</v>
      </c>
      <c r="B47" s="63" t="s">
        <v>30</v>
      </c>
      <c r="C47" s="63" t="s">
        <v>42</v>
      </c>
      <c r="D47" s="63" t="s">
        <v>45</v>
      </c>
      <c r="E47" s="56" t="s">
        <v>46</v>
      </c>
      <c r="F47" s="59" t="s">
        <v>94</v>
      </c>
      <c r="G47" s="59"/>
      <c r="H47" s="59" t="s">
        <v>43</v>
      </c>
      <c r="I47" s="60">
        <v>188</v>
      </c>
      <c r="J47" s="60">
        <v>115</v>
      </c>
      <c r="K47" s="57">
        <f t="shared" si="0"/>
        <v>73</v>
      </c>
      <c r="L47" s="59" t="s">
        <v>54</v>
      </c>
      <c r="M47" s="62"/>
      <c r="N47" s="67"/>
      <c r="O47" s="8">
        <v>1</v>
      </c>
      <c r="P47" s="58" t="str">
        <f t="shared" si="1"/>
        <v>공유지</v>
      </c>
      <c r="Q47" s="8" t="str">
        <f t="shared" si="6"/>
        <v>공유지도</v>
      </c>
      <c r="R47" s="8" t="str">
        <f t="shared" si="7"/>
        <v>공유지도</v>
      </c>
      <c r="S47" s="19" t="str">
        <f t="shared" si="8"/>
        <v>마암 산153-10도</v>
      </c>
      <c r="T47" s="18">
        <f t="shared" si="5"/>
        <v>1</v>
      </c>
    </row>
    <row r="48" spans="1:20" s="6" customFormat="1" ht="19.5" hidden="1" customHeight="1" x14ac:dyDescent="0.15">
      <c r="A48" s="63">
        <v>51</v>
      </c>
      <c r="B48" s="63" t="s">
        <v>30</v>
      </c>
      <c r="C48" s="63" t="s">
        <v>42</v>
      </c>
      <c r="D48" s="63" t="s">
        <v>45</v>
      </c>
      <c r="E48" s="56" t="s">
        <v>46</v>
      </c>
      <c r="F48" s="59" t="s">
        <v>95</v>
      </c>
      <c r="G48" s="59"/>
      <c r="H48" s="59" t="s">
        <v>43</v>
      </c>
      <c r="I48" s="60">
        <v>99</v>
      </c>
      <c r="J48" s="60">
        <v>26</v>
      </c>
      <c r="K48" s="57">
        <f t="shared" si="0"/>
        <v>73</v>
      </c>
      <c r="L48" s="59" t="s">
        <v>54</v>
      </c>
      <c r="M48" s="59"/>
      <c r="N48" s="67"/>
      <c r="O48" s="8">
        <v>1</v>
      </c>
      <c r="P48" s="58" t="str">
        <f t="shared" si="1"/>
        <v>공유지</v>
      </c>
      <c r="Q48" s="8" t="str">
        <f t="shared" si="6"/>
        <v>공유지도</v>
      </c>
      <c r="R48" s="8" t="str">
        <f t="shared" si="7"/>
        <v>공유지도</v>
      </c>
      <c r="S48" s="19" t="str">
        <f t="shared" si="8"/>
        <v>마암 산153-3도</v>
      </c>
      <c r="T48" s="18">
        <f t="shared" si="5"/>
        <v>1</v>
      </c>
    </row>
    <row r="49" spans="1:20" s="6" customFormat="1" ht="19.5" hidden="1" customHeight="1" x14ac:dyDescent="0.15">
      <c r="A49" s="63">
        <v>52</v>
      </c>
      <c r="B49" s="63" t="s">
        <v>30</v>
      </c>
      <c r="C49" s="63" t="s">
        <v>42</v>
      </c>
      <c r="D49" s="63" t="s">
        <v>45</v>
      </c>
      <c r="E49" s="56" t="s">
        <v>46</v>
      </c>
      <c r="F49" s="59" t="s">
        <v>96</v>
      </c>
      <c r="G49" s="59"/>
      <c r="H49" s="59" t="s">
        <v>43</v>
      </c>
      <c r="I49" s="60">
        <v>254</v>
      </c>
      <c r="J49" s="60">
        <v>52</v>
      </c>
      <c r="K49" s="57">
        <f t="shared" si="0"/>
        <v>202</v>
      </c>
      <c r="L49" s="59" t="s">
        <v>54</v>
      </c>
      <c r="M49" s="59"/>
      <c r="N49" s="67"/>
      <c r="O49" s="8">
        <v>1</v>
      </c>
      <c r="P49" s="58" t="str">
        <f t="shared" si="1"/>
        <v>공유지</v>
      </c>
      <c r="Q49" s="8" t="str">
        <f t="shared" si="6"/>
        <v>공유지도</v>
      </c>
      <c r="R49" s="8" t="str">
        <f t="shared" si="7"/>
        <v>공유지도</v>
      </c>
      <c r="S49" s="19" t="str">
        <f t="shared" si="8"/>
        <v>마암 산153-6도</v>
      </c>
      <c r="T49" s="18">
        <f t="shared" si="5"/>
        <v>1</v>
      </c>
    </row>
    <row r="50" spans="1:20" s="6" customFormat="1" ht="19.5" hidden="1" customHeight="1" x14ac:dyDescent="0.15">
      <c r="A50" s="63">
        <v>53</v>
      </c>
      <c r="B50" s="63" t="s">
        <v>30</v>
      </c>
      <c r="C50" s="63" t="s">
        <v>42</v>
      </c>
      <c r="D50" s="63" t="s">
        <v>45</v>
      </c>
      <c r="E50" s="56" t="s">
        <v>46</v>
      </c>
      <c r="F50" s="59" t="s">
        <v>97</v>
      </c>
      <c r="G50" s="59"/>
      <c r="H50" s="59" t="s">
        <v>43</v>
      </c>
      <c r="I50" s="60">
        <v>415</v>
      </c>
      <c r="J50" s="60">
        <v>8</v>
      </c>
      <c r="K50" s="57">
        <f t="shared" si="0"/>
        <v>407</v>
      </c>
      <c r="L50" s="59" t="s">
        <v>65</v>
      </c>
      <c r="M50" s="59"/>
      <c r="N50" s="67"/>
      <c r="O50" s="8">
        <v>1</v>
      </c>
      <c r="P50" s="58" t="str">
        <f t="shared" si="1"/>
        <v>국유지</v>
      </c>
      <c r="Q50" s="8" t="str">
        <f t="shared" si="6"/>
        <v>국유지도</v>
      </c>
      <c r="R50" s="8" t="str">
        <f t="shared" si="7"/>
        <v>국유지도</v>
      </c>
      <c r="S50" s="19" t="str">
        <f t="shared" si="8"/>
        <v>마암 산153-8도</v>
      </c>
      <c r="T50" s="18">
        <f t="shared" si="5"/>
        <v>1</v>
      </c>
    </row>
    <row r="51" spans="1:20" ht="19.5" hidden="1" customHeight="1" x14ac:dyDescent="0.15">
      <c r="A51" s="63" t="s">
        <v>31</v>
      </c>
      <c r="B51" s="63"/>
      <c r="C51" s="63"/>
      <c r="D51" s="63"/>
      <c r="E51" s="63"/>
      <c r="F51" s="9"/>
      <c r="G51" s="9"/>
      <c r="H51" s="67"/>
      <c r="I51" s="10">
        <f>SUM(I4:I50)</f>
        <v>11702.2</v>
      </c>
      <c r="J51" s="10">
        <f>SUM(J4:J50)</f>
        <v>6743.2</v>
      </c>
      <c r="K51" s="10">
        <f>SUM(K4:K50)</f>
        <v>4959</v>
      </c>
      <c r="L51" s="63"/>
      <c r="M51" s="67"/>
      <c r="N51" s="67"/>
      <c r="O51" s="24">
        <f>SUM(O4:O50)</f>
        <v>45</v>
      </c>
      <c r="P51" s="8"/>
      <c r="Q51" s="8"/>
      <c r="R51" s="8"/>
      <c r="S51" s="25"/>
    </row>
    <row r="52" spans="1:20" ht="24.95" customHeight="1" x14ac:dyDescent="0.15">
      <c r="A52" s="64"/>
      <c r="B52" s="64"/>
      <c r="C52" s="64"/>
      <c r="D52" s="64"/>
      <c r="E52" s="64"/>
      <c r="F52" s="11"/>
      <c r="G52" s="11"/>
      <c r="H52" s="12"/>
      <c r="I52" s="13"/>
      <c r="J52" s="13"/>
      <c r="K52" s="13"/>
      <c r="L52" s="13"/>
      <c r="M52" s="13"/>
      <c r="N52" s="13"/>
      <c r="O52" s="13"/>
      <c r="P52" s="13"/>
      <c r="T52" s="15"/>
    </row>
    <row r="53" spans="1:20" ht="21" customHeight="1" x14ac:dyDescent="0.15">
      <c r="A53" s="64"/>
      <c r="B53" s="64"/>
      <c r="C53" s="64"/>
      <c r="D53" s="64"/>
      <c r="E53" s="64"/>
      <c r="F53" s="52"/>
      <c r="G53" s="52"/>
      <c r="H53" s="52"/>
      <c r="I53" s="53"/>
      <c r="J53" s="53"/>
      <c r="K53" s="53"/>
      <c r="L53" s="64"/>
      <c r="M53" s="12"/>
      <c r="N53" s="13"/>
      <c r="O53" s="13"/>
      <c r="P53" s="13"/>
      <c r="Q53" s="49"/>
      <c r="R53" s="49"/>
      <c r="S53" s="50"/>
    </row>
    <row r="54" spans="1:20" ht="21" customHeight="1" x14ac:dyDescent="0.15">
      <c r="A54" s="51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3"/>
      <c r="Q54" s="49"/>
      <c r="R54" s="49"/>
      <c r="S54" s="50"/>
    </row>
    <row r="55" spans="1:20" ht="21" customHeight="1" x14ac:dyDescent="0.15">
      <c r="A55" s="55"/>
      <c r="B55" s="64"/>
      <c r="C55" s="64"/>
      <c r="D55" s="64"/>
      <c r="E55" s="64"/>
      <c r="F55" s="64"/>
      <c r="G55" s="64"/>
      <c r="H55" s="52"/>
      <c r="I55" s="52"/>
      <c r="J55" s="53"/>
      <c r="K55" s="53"/>
      <c r="L55" s="53"/>
      <c r="M55" s="64"/>
      <c r="N55" s="12"/>
      <c r="O55" s="13"/>
      <c r="P55" s="13"/>
      <c r="Q55" s="49"/>
      <c r="R55" s="49"/>
      <c r="S55" s="50"/>
    </row>
    <row r="56" spans="1:20" ht="21" customHeight="1" x14ac:dyDescent="0.15">
      <c r="A56" s="55"/>
      <c r="B56" s="54"/>
      <c r="C56" s="54"/>
      <c r="D56" s="54"/>
      <c r="E56" s="54"/>
      <c r="F56" s="50"/>
      <c r="G56" s="50"/>
      <c r="H56" s="50"/>
      <c r="I56" s="13"/>
      <c r="J56" s="13"/>
      <c r="K56" s="13"/>
      <c r="L56" s="13"/>
      <c r="M56" s="13"/>
      <c r="N56" s="13"/>
      <c r="O56" s="13"/>
      <c r="P56" s="13"/>
      <c r="Q56" s="49"/>
      <c r="R56" s="49"/>
      <c r="S56" s="50"/>
    </row>
    <row r="57" spans="1:20" ht="21" customHeight="1" x14ac:dyDescent="0.15">
      <c r="A57" s="55"/>
      <c r="B57" s="54"/>
      <c r="C57" s="54"/>
      <c r="D57" s="54"/>
      <c r="E57" s="54"/>
      <c r="F57" s="50"/>
      <c r="G57" s="50"/>
      <c r="H57" s="50"/>
      <c r="I57" s="13"/>
      <c r="J57" s="13"/>
      <c r="K57" s="13"/>
      <c r="L57" s="13"/>
      <c r="M57" s="13"/>
      <c r="N57" s="13"/>
      <c r="O57" s="13"/>
      <c r="P57" s="13"/>
      <c r="Q57" s="49"/>
      <c r="R57" s="49"/>
      <c r="S57" s="50"/>
    </row>
    <row r="58" spans="1:20" ht="21" customHeight="1" x14ac:dyDescent="0.15">
      <c r="A58" s="55"/>
      <c r="B58" s="54"/>
      <c r="C58" s="54"/>
      <c r="D58" s="54"/>
      <c r="E58" s="54"/>
      <c r="F58" s="50"/>
      <c r="G58" s="50"/>
      <c r="H58" s="50"/>
      <c r="I58" s="13"/>
      <c r="J58" s="13"/>
      <c r="K58" s="13"/>
      <c r="L58" s="13"/>
      <c r="M58" s="13"/>
      <c r="N58" s="13"/>
      <c r="O58" s="13"/>
      <c r="P58" s="13"/>
      <c r="Q58" s="49"/>
      <c r="R58" s="49"/>
      <c r="S58" s="50"/>
    </row>
    <row r="59" spans="1:20" ht="21" customHeight="1" x14ac:dyDescent="0.15">
      <c r="A59" s="55"/>
      <c r="B59" s="54"/>
      <c r="C59" s="54"/>
      <c r="D59" s="54"/>
      <c r="E59" s="54"/>
      <c r="F59" s="50"/>
      <c r="G59" s="50"/>
      <c r="H59" s="50"/>
      <c r="I59" s="13"/>
      <c r="J59" s="13"/>
      <c r="K59" s="13"/>
      <c r="L59" s="13"/>
      <c r="M59" s="13"/>
      <c r="N59" s="13"/>
      <c r="O59" s="13"/>
      <c r="P59" s="13"/>
      <c r="Q59" s="49"/>
      <c r="R59" s="49"/>
      <c r="S59" s="50"/>
    </row>
    <row r="60" spans="1:20" ht="21" customHeight="1" x14ac:dyDescent="0.15">
      <c r="A60" s="55"/>
      <c r="B60" s="54"/>
      <c r="C60" s="54"/>
      <c r="D60" s="54"/>
      <c r="E60" s="54"/>
      <c r="F60" s="50"/>
      <c r="G60" s="50"/>
      <c r="H60" s="50"/>
      <c r="I60" s="13"/>
      <c r="J60" s="13"/>
      <c r="K60" s="13"/>
      <c r="L60" s="13"/>
      <c r="M60" s="13"/>
      <c r="N60" s="13"/>
      <c r="O60" s="13"/>
      <c r="P60" s="13"/>
      <c r="Q60" s="49"/>
      <c r="R60" s="49"/>
      <c r="S60" s="50"/>
    </row>
    <row r="61" spans="1:20" ht="21" customHeight="1" x14ac:dyDescent="0.15">
      <c r="A61" s="55"/>
      <c r="B61" s="54"/>
      <c r="C61" s="54"/>
      <c r="D61" s="54"/>
      <c r="E61" s="54"/>
      <c r="F61" s="50"/>
      <c r="G61" s="50"/>
      <c r="H61" s="50"/>
      <c r="I61" s="13"/>
      <c r="J61" s="13"/>
      <c r="K61" s="13"/>
      <c r="L61" s="13"/>
      <c r="M61" s="13"/>
      <c r="N61" s="13"/>
      <c r="O61" s="13"/>
      <c r="P61" s="13"/>
      <c r="Q61" s="49"/>
      <c r="R61" s="49"/>
      <c r="S61" s="50"/>
    </row>
    <row r="62" spans="1:20" ht="21" customHeight="1" x14ac:dyDescent="0.15">
      <c r="A62" s="55"/>
      <c r="B62" s="54"/>
      <c r="C62" s="54"/>
      <c r="D62" s="54"/>
      <c r="E62" s="54"/>
      <c r="F62" s="50"/>
      <c r="G62" s="50"/>
      <c r="H62" s="50"/>
      <c r="I62" s="13"/>
      <c r="J62" s="13"/>
      <c r="K62" s="13"/>
      <c r="L62" s="13"/>
      <c r="M62" s="13"/>
      <c r="N62" s="13"/>
      <c r="O62" s="13"/>
      <c r="P62" s="13"/>
      <c r="Q62" s="49"/>
      <c r="R62" s="49"/>
      <c r="S62" s="50"/>
    </row>
    <row r="63" spans="1:20" ht="21" customHeight="1" x14ac:dyDescent="0.15">
      <c r="I63" s="13"/>
      <c r="J63" s="13"/>
      <c r="K63" s="13"/>
      <c r="L63" s="13"/>
      <c r="M63" s="13"/>
      <c r="N63" s="13"/>
      <c r="O63" s="13"/>
      <c r="P63" s="13"/>
    </row>
    <row r="64" spans="1:20" ht="21" customHeight="1" x14ac:dyDescent="0.15">
      <c r="I64" s="13"/>
      <c r="J64" s="13"/>
      <c r="K64" s="13"/>
      <c r="L64" s="13"/>
      <c r="M64" s="13"/>
      <c r="N64" s="13"/>
      <c r="O64" s="13"/>
      <c r="P64" s="13"/>
    </row>
    <row r="65" spans="9:16" ht="21" customHeight="1" x14ac:dyDescent="0.15">
      <c r="I65" s="13"/>
      <c r="J65" s="13"/>
      <c r="K65" s="13"/>
      <c r="L65" s="13"/>
      <c r="M65" s="13"/>
      <c r="N65" s="13"/>
      <c r="O65" s="13"/>
      <c r="P65" s="13"/>
    </row>
    <row r="66" spans="9:16" ht="21" customHeight="1" x14ac:dyDescent="0.15">
      <c r="I66" s="13"/>
      <c r="J66" s="13"/>
      <c r="K66" s="13"/>
      <c r="L66" s="13"/>
      <c r="M66" s="13"/>
      <c r="N66" s="13"/>
      <c r="O66" s="13"/>
      <c r="P66" s="13"/>
    </row>
  </sheetData>
  <autoFilter ref="A3:IU51">
    <filterColumn colId="11">
      <filters>
        <filter val="김형술"/>
        <filter val="이명오"/>
        <filter val="이종문"/>
        <filter val="이춘근"/>
      </filters>
    </filterColumn>
  </autoFilter>
  <mergeCells count="2">
    <mergeCell ref="F2:G2"/>
    <mergeCell ref="A1:I1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54" orientation="landscape" r:id="rId1"/>
  <rowBreaks count="2" manualBreakCount="2">
    <brk id="51" max="12" man="1"/>
    <brk id="102" max="12" man="1"/>
  </rowBreaks>
  <colBreaks count="1" manualBreakCount="1">
    <brk id="14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용지조서집계</vt:lpstr>
      <vt:lpstr>용지조서</vt:lpstr>
      <vt:lpstr>용지조서!Print_Area</vt:lpstr>
      <vt:lpstr>용지조서집계!Print_Area</vt:lpstr>
      <vt:lpstr>용지조서!Print_Titles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전평주</dc:creator>
  <cp:lastModifiedBy>W</cp:lastModifiedBy>
  <cp:lastPrinted>2020-03-20T02:41:15Z</cp:lastPrinted>
  <dcterms:created xsi:type="dcterms:W3CDTF">2019-11-12T05:48:00Z</dcterms:created>
  <dcterms:modified xsi:type="dcterms:W3CDTF">2021-05-26T07:23:40Z</dcterms:modified>
</cp:coreProperties>
</file>